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2.12.25 Плотва и мосты в Прох" sheetId="8" r:id="rId1"/>
  </sheets>
  <externalReferences>
    <externalReference r:id="rId2"/>
  </externalReferences>
  <definedNames>
    <definedName name="_xlnm.Print_Titles" localSheetId="0">'12.12.25 Плотва и мосты в Прох'!$5:$8</definedName>
    <definedName name="_xlnm.Print_Area" localSheetId="0">'12.12.25 Плотва и мосты в Прох'!$A$1:$V$240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32" i="8"/>
  <c r="F132"/>
  <c r="E132"/>
  <c r="C132"/>
  <c r="F153"/>
  <c r="E153"/>
  <c r="C153"/>
  <c r="H95"/>
  <c r="K97"/>
  <c r="K95" s="1"/>
  <c r="W98"/>
  <c r="J95"/>
  <c r="L98"/>
  <c r="J97"/>
  <c r="X237"/>
  <c r="W237"/>
  <c r="Q237"/>
  <c r="L237"/>
  <c r="G235"/>
  <c r="G229" s="1"/>
  <c r="F235"/>
  <c r="E235"/>
  <c r="P234"/>
  <c r="Q234" s="1"/>
  <c r="Q231" s="1"/>
  <c r="Q229" s="1"/>
  <c r="L233"/>
  <c r="K233"/>
  <c r="L232"/>
  <c r="K232"/>
  <c r="O231"/>
  <c r="M231"/>
  <c r="M229" s="1"/>
  <c r="M11" s="1"/>
  <c r="L231"/>
  <c r="L229" s="1"/>
  <c r="K231"/>
  <c r="K229" s="1"/>
  <c r="J231"/>
  <c r="J229" s="1"/>
  <c r="H231"/>
  <c r="L230"/>
  <c r="K230"/>
  <c r="J230"/>
  <c r="H230"/>
  <c r="H229" s="1"/>
  <c r="Z12" s="1"/>
  <c r="V229"/>
  <c r="U229"/>
  <c r="T229"/>
  <c r="R229"/>
  <c r="O229"/>
  <c r="N229"/>
  <c r="N11" s="1"/>
  <c r="F229"/>
  <c r="E229"/>
  <c r="D229"/>
  <c r="C229"/>
  <c r="X228"/>
  <c r="L228"/>
  <c r="K228"/>
  <c r="K227"/>
  <c r="J227"/>
  <c r="L227" s="1"/>
  <c r="H227"/>
  <c r="X226"/>
  <c r="L226"/>
  <c r="K226"/>
  <c r="J226"/>
  <c r="H226"/>
  <c r="X225"/>
  <c r="L225"/>
  <c r="K225"/>
  <c r="J225"/>
  <c r="H225"/>
  <c r="X224"/>
  <c r="L224"/>
  <c r="K224"/>
  <c r="X223"/>
  <c r="L223"/>
  <c r="K223"/>
  <c r="J223"/>
  <c r="H223"/>
  <c r="W222"/>
  <c r="K222"/>
  <c r="J222"/>
  <c r="L222" s="1"/>
  <c r="L218" s="1"/>
  <c r="H222"/>
  <c r="H218" s="1"/>
  <c r="V220"/>
  <c r="U220"/>
  <c r="T220"/>
  <c r="R220"/>
  <c r="K218"/>
  <c r="W217"/>
  <c r="L217"/>
  <c r="W216"/>
  <c r="L216"/>
  <c r="W215"/>
  <c r="L215"/>
  <c r="W214"/>
  <c r="L214"/>
  <c r="W213"/>
  <c r="L213"/>
  <c r="W212"/>
  <c r="L212"/>
  <c r="W211"/>
  <c r="L211"/>
  <c r="W210"/>
  <c r="L210"/>
  <c r="W209"/>
  <c r="L209"/>
  <c r="W208"/>
  <c r="L208"/>
  <c r="W207"/>
  <c r="L207"/>
  <c r="W206"/>
  <c r="L206"/>
  <c r="W205"/>
  <c r="L205"/>
  <c r="L203" s="1"/>
  <c r="K203"/>
  <c r="J203"/>
  <c r="H203"/>
  <c r="W202"/>
  <c r="G202"/>
  <c r="G198" s="1"/>
  <c r="F202"/>
  <c r="F198" s="1"/>
  <c r="E202"/>
  <c r="E198" s="1"/>
  <c r="G200"/>
  <c r="C200"/>
  <c r="V198"/>
  <c r="U198"/>
  <c r="T198"/>
  <c r="R198"/>
  <c r="C198"/>
  <c r="J194"/>
  <c r="L194" s="1"/>
  <c r="L193"/>
  <c r="L192"/>
  <c r="L191"/>
  <c r="L190"/>
  <c r="J190"/>
  <c r="L189"/>
  <c r="L188"/>
  <c r="G187"/>
  <c r="G185" s="1"/>
  <c r="F187"/>
  <c r="F185" s="1"/>
  <c r="V185"/>
  <c r="U185"/>
  <c r="T185"/>
  <c r="R185"/>
  <c r="K185"/>
  <c r="J185"/>
  <c r="H185"/>
  <c r="E185"/>
  <c r="C185"/>
  <c r="L184"/>
  <c r="K184"/>
  <c r="L183"/>
  <c r="K183"/>
  <c r="L182"/>
  <c r="K182"/>
  <c r="L181"/>
  <c r="K181"/>
  <c r="L180"/>
  <c r="K180"/>
  <c r="L179"/>
  <c r="K179"/>
  <c r="L178"/>
  <c r="K178"/>
  <c r="L177"/>
  <c r="K177"/>
  <c r="L176"/>
  <c r="K176"/>
  <c r="L175"/>
  <c r="K175"/>
  <c r="L174"/>
  <c r="L170" s="1"/>
  <c r="K174"/>
  <c r="G173"/>
  <c r="F173"/>
  <c r="E173"/>
  <c r="F172"/>
  <c r="F170" s="1"/>
  <c r="E172"/>
  <c r="G172" s="1"/>
  <c r="G170" s="1"/>
  <c r="V170"/>
  <c r="U170"/>
  <c r="T170"/>
  <c r="R170"/>
  <c r="K170"/>
  <c r="J170"/>
  <c r="W170" s="1"/>
  <c r="I170"/>
  <c r="I11" s="1"/>
  <c r="H170"/>
  <c r="C170"/>
  <c r="V168"/>
  <c r="V167" s="1"/>
  <c r="U168"/>
  <c r="U167" s="1"/>
  <c r="T167"/>
  <c r="S167"/>
  <c r="R167"/>
  <c r="L166"/>
  <c r="L164"/>
  <c r="L163"/>
  <c r="L162"/>
  <c r="L159" s="1"/>
  <c r="L161"/>
  <c r="V160"/>
  <c r="V159" s="1"/>
  <c r="U160"/>
  <c r="U159" s="1"/>
  <c r="T159"/>
  <c r="R159"/>
  <c r="K159"/>
  <c r="J159"/>
  <c r="H159"/>
  <c r="G158"/>
  <c r="G157"/>
  <c r="G156"/>
  <c r="W155"/>
  <c r="G155"/>
  <c r="G154"/>
  <c r="Q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 s="1"/>
  <c r="F133"/>
  <c r="E133"/>
  <c r="C133"/>
  <c r="V132"/>
  <c r="U132"/>
  <c r="T132"/>
  <c r="R132"/>
  <c r="Q132"/>
  <c r="Q11" s="1"/>
  <c r="P132"/>
  <c r="O132"/>
  <c r="M132"/>
  <c r="L131"/>
  <c r="K131"/>
  <c r="L130"/>
  <c r="L126" s="1"/>
  <c r="K130"/>
  <c r="K126" s="1"/>
  <c r="L129"/>
  <c r="K129"/>
  <c r="L128"/>
  <c r="K128"/>
  <c r="V126"/>
  <c r="U126"/>
  <c r="T126"/>
  <c r="R126"/>
  <c r="J126"/>
  <c r="H126"/>
  <c r="G125"/>
  <c r="W123"/>
  <c r="L123"/>
  <c r="L120" s="1"/>
  <c r="G122"/>
  <c r="G120" s="1"/>
  <c r="F122"/>
  <c r="F120" s="1"/>
  <c r="E122"/>
  <c r="V120"/>
  <c r="U120"/>
  <c r="T120"/>
  <c r="R120"/>
  <c r="K120"/>
  <c r="J120"/>
  <c r="H120"/>
  <c r="E120"/>
  <c r="C120"/>
  <c r="L119"/>
  <c r="K119"/>
  <c r="L118"/>
  <c r="K118"/>
  <c r="L117"/>
  <c r="K117"/>
  <c r="L116"/>
  <c r="L112" s="1"/>
  <c r="K116"/>
  <c r="K112" s="1"/>
  <c r="L115"/>
  <c r="K115"/>
  <c r="L114"/>
  <c r="K114"/>
  <c r="V112"/>
  <c r="U112"/>
  <c r="T112"/>
  <c r="R112"/>
  <c r="J112"/>
  <c r="H112"/>
  <c r="L111"/>
  <c r="K111"/>
  <c r="U110"/>
  <c r="U109" s="1"/>
  <c r="L110"/>
  <c r="K110"/>
  <c r="J110"/>
  <c r="H110"/>
  <c r="T109"/>
  <c r="R109"/>
  <c r="L109"/>
  <c r="K109"/>
  <c r="J109"/>
  <c r="H109"/>
  <c r="J108"/>
  <c r="J107"/>
  <c r="J106"/>
  <c r="J105"/>
  <c r="J104"/>
  <c r="J103"/>
  <c r="J102"/>
  <c r="J101"/>
  <c r="J99" s="1"/>
  <c r="W100"/>
  <c r="V100"/>
  <c r="V99" s="1"/>
  <c r="U100"/>
  <c r="U99"/>
  <c r="U11" s="1"/>
  <c r="T99"/>
  <c r="R99"/>
  <c r="L99"/>
  <c r="K99"/>
  <c r="H99"/>
  <c r="H97"/>
  <c r="G97"/>
  <c r="G95" s="1"/>
  <c r="F97"/>
  <c r="F95" s="1"/>
  <c r="E97"/>
  <c r="E95" s="1"/>
  <c r="V95"/>
  <c r="U95"/>
  <c r="T95"/>
  <c r="R95"/>
  <c r="C95"/>
  <c r="E92"/>
  <c r="E91"/>
  <c r="E90"/>
  <c r="E87" s="1"/>
  <c r="E88"/>
  <c r="C88"/>
  <c r="V87"/>
  <c r="U87"/>
  <c r="T87"/>
  <c r="R87"/>
  <c r="G87"/>
  <c r="F87"/>
  <c r="C87"/>
  <c r="G86"/>
  <c r="G85"/>
  <c r="G84"/>
  <c r="G83"/>
  <c r="G81" s="1"/>
  <c r="F83"/>
  <c r="F81" s="1"/>
  <c r="W81" s="1"/>
  <c r="E83"/>
  <c r="D83"/>
  <c r="V81"/>
  <c r="U81"/>
  <c r="T81"/>
  <c r="T11" s="1"/>
  <c r="R81"/>
  <c r="R11" s="1"/>
  <c r="L81"/>
  <c r="K81"/>
  <c r="J81"/>
  <c r="H81"/>
  <c r="E81"/>
  <c r="D81"/>
  <c r="D11" s="1"/>
  <c r="C81"/>
  <c r="L80"/>
  <c r="K80"/>
  <c r="L79"/>
  <c r="K79"/>
  <c r="K78"/>
  <c r="L78" s="1"/>
  <c r="L77"/>
  <c r="K77"/>
  <c r="L76"/>
  <c r="K76"/>
  <c r="L75"/>
  <c r="K75"/>
  <c r="K74"/>
  <c r="L74" s="1"/>
  <c r="L64" s="1"/>
  <c r="G73"/>
  <c r="F73"/>
  <c r="G72"/>
  <c r="F72"/>
  <c r="G71"/>
  <c r="F71"/>
  <c r="F70"/>
  <c r="G70" s="1"/>
  <c r="G69"/>
  <c r="F69"/>
  <c r="G68"/>
  <c r="F68"/>
  <c r="G67"/>
  <c r="F67"/>
  <c r="F66"/>
  <c r="G66" s="1"/>
  <c r="G65"/>
  <c r="F65"/>
  <c r="J64"/>
  <c r="H64"/>
  <c r="E64"/>
  <c r="E24" s="1"/>
  <c r="C64"/>
  <c r="L63"/>
  <c r="L62"/>
  <c r="J62"/>
  <c r="H62"/>
  <c r="K61"/>
  <c r="L61" s="1"/>
  <c r="L25" s="1"/>
  <c r="L60"/>
  <c r="L59"/>
  <c r="K59"/>
  <c r="L58"/>
  <c r="L57"/>
  <c r="L56"/>
  <c r="L55"/>
  <c r="L54"/>
  <c r="L53"/>
  <c r="L52"/>
  <c r="K52"/>
  <c r="L51"/>
  <c r="L50"/>
  <c r="L49"/>
  <c r="L48"/>
  <c r="L47"/>
  <c r="L46"/>
  <c r="G45"/>
  <c r="F45"/>
  <c r="W44"/>
  <c r="L44"/>
  <c r="G44"/>
  <c r="F44"/>
  <c r="W43"/>
  <c r="G43"/>
  <c r="F43"/>
  <c r="C43"/>
  <c r="W42"/>
  <c r="G42"/>
  <c r="F42"/>
  <c r="W41"/>
  <c r="G41"/>
  <c r="F41"/>
  <c r="W40"/>
  <c r="G40"/>
  <c r="F40"/>
  <c r="W39"/>
  <c r="G39"/>
  <c r="F39"/>
  <c r="W38"/>
  <c r="G38"/>
  <c r="F38"/>
  <c r="W37"/>
  <c r="G37"/>
  <c r="F37"/>
  <c r="F36"/>
  <c r="G36" s="1"/>
  <c r="C36"/>
  <c r="C25" s="1"/>
  <c r="C24" s="1"/>
  <c r="W35"/>
  <c r="G35"/>
  <c r="F35"/>
  <c r="W34"/>
  <c r="G34"/>
  <c r="F34"/>
  <c r="W33"/>
  <c r="G33"/>
  <c r="F33"/>
  <c r="W32"/>
  <c r="G32"/>
  <c r="F32"/>
  <c r="W31"/>
  <c r="F31"/>
  <c r="G31" s="1"/>
  <c r="W30"/>
  <c r="G30"/>
  <c r="F30"/>
  <c r="W29"/>
  <c r="F29"/>
  <c r="G29" s="1"/>
  <c r="W28"/>
  <c r="G28"/>
  <c r="F28"/>
  <c r="W27"/>
  <c r="G27"/>
  <c r="F27"/>
  <c r="F25" s="1"/>
  <c r="F26"/>
  <c r="G26" s="1"/>
  <c r="J25"/>
  <c r="H25"/>
  <c r="E25"/>
  <c r="V24"/>
  <c r="U24"/>
  <c r="T24"/>
  <c r="R24"/>
  <c r="J24"/>
  <c r="H24"/>
  <c r="J23"/>
  <c r="J22"/>
  <c r="J21"/>
  <c r="J20"/>
  <c r="J19"/>
  <c r="J15" s="1"/>
  <c r="J18"/>
  <c r="G17"/>
  <c r="G16" s="1"/>
  <c r="G15" s="1"/>
  <c r="V16"/>
  <c r="F16"/>
  <c r="F15" s="1"/>
  <c r="E16"/>
  <c r="E15" s="1"/>
  <c r="C16"/>
  <c r="C15" s="1"/>
  <c r="V15"/>
  <c r="L15"/>
  <c r="K15"/>
  <c r="H15"/>
  <c r="Y12"/>
  <c r="W12"/>
  <c r="S11"/>
  <c r="O11"/>
  <c r="W132" l="1"/>
  <c r="G153"/>
  <c r="C11"/>
  <c r="Y11" s="1"/>
  <c r="Y13" s="1"/>
  <c r="H11"/>
  <c r="Z11" s="1"/>
  <c r="W97"/>
  <c r="L97"/>
  <c r="L95" s="1"/>
  <c r="L24"/>
  <c r="G25"/>
  <c r="W25"/>
  <c r="G64"/>
  <c r="L185"/>
  <c r="V11"/>
  <c r="F64"/>
  <c r="F24" s="1"/>
  <c r="K25"/>
  <c r="K24" s="1"/>
  <c r="Q14"/>
  <c r="K64"/>
  <c r="X222"/>
  <c r="W36"/>
  <c r="E170"/>
  <c r="E11" s="1"/>
  <c r="X227"/>
  <c r="P231"/>
  <c r="P229" s="1"/>
  <c r="P13" s="1"/>
  <c r="J218"/>
  <c r="J11" s="1"/>
  <c r="W11" l="1"/>
  <c r="W24"/>
  <c r="F11"/>
  <c r="F13"/>
  <c r="P11"/>
  <c r="G24"/>
  <c r="K11"/>
  <c r="X24"/>
  <c r="K13"/>
  <c r="Z24"/>
  <c r="L14"/>
  <c r="L11"/>
  <c r="G14" l="1"/>
  <c r="G11"/>
</calcChain>
</file>

<file path=xl/sharedStrings.xml><?xml version="1.0" encoding="utf-8"?>
<sst xmlns="http://schemas.openxmlformats.org/spreadsheetml/2006/main" count="294" uniqueCount="237">
  <si>
    <t>2025 год</t>
  </si>
  <si>
    <t>2026 год</t>
  </si>
  <si>
    <t>2027 год</t>
  </si>
  <si>
    <t xml:space="preserve">    </t>
  </si>
  <si>
    <t>Протяженность</t>
  </si>
  <si>
    <t>в том числе</t>
  </si>
  <si>
    <t>Стоимость ВСЕГО,                   тыс. рублей</t>
  </si>
  <si>
    <t xml:space="preserve">км </t>
  </si>
  <si>
    <t>п.м</t>
  </si>
  <si>
    <t>муници-пальный бюджет</t>
  </si>
  <si>
    <t>областной бюджет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</si>
  <si>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</si>
  <si>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 xml:space="preserve"> </t>
  </si>
  <si>
    <t>Отремонтировано автодорог и мостов местного значения</t>
  </si>
  <si>
    <t>ВСЕГО</t>
  </si>
  <si>
    <t>в том числе:</t>
  </si>
  <si>
    <t>субсидии из областного бюджета</t>
  </si>
  <si>
    <t>средства  бюджетов муниципальных образований</t>
  </si>
  <si>
    <t>Алексеевский муниципальный округ</t>
  </si>
  <si>
    <t xml:space="preserve">   </t>
  </si>
  <si>
    <t>МКР ИЖС «Майский - 8»</t>
  </si>
  <si>
    <t>МКР ИЖС «Княжеский»</t>
  </si>
  <si>
    <t>МКР ИЖС «Лесной»</t>
  </si>
  <si>
    <t>МКР ИЖС «Новосадовый - 41», проезды</t>
  </si>
  <si>
    <t>МКР ИЖС «Пушкарное - 78» (2-я очередь)</t>
  </si>
  <si>
    <t>МКР ИЖС «Стрелецкое - 73/1»</t>
  </si>
  <si>
    <t>МКР ИЖС «Стрелецкое - 73/2 (2-я очередь)»</t>
  </si>
  <si>
    <t>Ремонт автодорог в МКР ИЖС, в том числе</t>
  </si>
  <si>
    <t>МКР ИЖС «Новосадовый - 41», «Новые сады»</t>
  </si>
  <si>
    <t>МКР ИЖС «Стрелецкое - 83»</t>
  </si>
  <si>
    <t>п. Новосадовый, МКР ИЖС «Новосадовый - 26»,      ул. Тенистая</t>
  </si>
  <si>
    <t>п. Борисовка, ул. Советская</t>
  </si>
  <si>
    <t>Валуйский муниципальный округ</t>
  </si>
  <si>
    <t>Вейделевский район</t>
  </si>
  <si>
    <t>Капитальный ремонт автодороги  ул. Ленина -              ул. Нестерова, п. Волоконовка</t>
  </si>
  <si>
    <t>Грайворонский муниципальный округ</t>
  </si>
  <si>
    <t>Губкинский городской округ</t>
  </si>
  <si>
    <t xml:space="preserve">  </t>
  </si>
  <si>
    <t xml:space="preserve">Капитальный ремонт подъездной дороги                      к кладбищу в х. Миндоловка </t>
  </si>
  <si>
    <t>Ремонт автодороги от ул. Новая с. Большое                  до ул. Кривой рог с. Старый Редкодуб</t>
  </si>
  <si>
    <t>с. Лесное Уколово, I очередь</t>
  </si>
  <si>
    <t>с. Арнаутово, ул. Победы</t>
  </si>
  <si>
    <t>с. Казацкое, ул. Заречная</t>
  </si>
  <si>
    <t>г. Бирюч, ул. Советская</t>
  </si>
  <si>
    <t>г. Бирюч, ул. Ямская</t>
  </si>
  <si>
    <t>г. Бирюч, ул. Чайковского</t>
  </si>
  <si>
    <t>г. Бирюч, ул. Заводская</t>
  </si>
  <si>
    <t>г. Бирюч, ул. Большевистская</t>
  </si>
  <si>
    <t>с. Раздорное, ул. Раздорная</t>
  </si>
  <si>
    <t>с. Горовое, ул. Мира</t>
  </si>
  <si>
    <t>х. Котляров, ул. Центральная</t>
  </si>
  <si>
    <t>с. Ливенка, ул. Подлес</t>
  </si>
  <si>
    <t>с. Ливенка, ул. Советская</t>
  </si>
  <si>
    <t>с. Ливенка, ул. Заводская</t>
  </si>
  <si>
    <t>п. Красная Яруга, ул. Набережная - Дальневосточная</t>
  </si>
  <si>
    <t>с. Илек-Пеньковка, ул. Молодежная</t>
  </si>
  <si>
    <t>с. Илек-Пеньковка, ул. Школьная</t>
  </si>
  <si>
    <t>х. Вязовской, ул. Трудовая</t>
  </si>
  <si>
    <t xml:space="preserve">Капитальный ремонт автодороги по ул. Парковая         в п. Красная Яруга </t>
  </si>
  <si>
    <t>Новооскольский городской округ</t>
  </si>
  <si>
    <t>г. Новый Оскол, ул. Успенская - ул. Кирова</t>
  </si>
  <si>
    <t xml:space="preserve">Капитальный ремонт моста в г. Новый Оскол,                   ул. 1 Мая </t>
  </si>
  <si>
    <t>с. Русская Березовка</t>
  </si>
  <si>
    <t>п. Ракитное, ул. Первомайская</t>
  </si>
  <si>
    <t>п. Ракитное, ул. Московская</t>
  </si>
  <si>
    <t>п. Пролетарский, ул. Октябрьская, ул. Лесная,               пер. 8 Проезд, пер. 9 Проезд, пер. Советский</t>
  </si>
  <si>
    <t>с. Ворсклица</t>
  </si>
  <si>
    <t>с. Солдатское, ул. Садовая, ул. Молочная</t>
  </si>
  <si>
    <t>с. Новоленинское</t>
  </si>
  <si>
    <t>Ровеньский район</t>
  </si>
  <si>
    <t>Старооскольский городской округ</t>
  </si>
  <si>
    <t xml:space="preserve">           </t>
  </si>
  <si>
    <t>Капитальный ремонт улично - дорожной сети городского округа, в том числе</t>
  </si>
  <si>
    <t>п. Чернянка, ул. Есенина</t>
  </si>
  <si>
    <t>Яковлевский муниципальный округ</t>
  </si>
  <si>
    <t>г. Белгород</t>
  </si>
  <si>
    <t>Стоимость              ВСЕГО,        тыс. рублей</t>
  </si>
  <si>
    <t>субсидии           из областного бюджета</t>
  </si>
  <si>
    <t>Стоимость               ВСЕГО,        тыс. рублей</t>
  </si>
  <si>
    <t>субсидии      из областного бюджета</t>
  </si>
  <si>
    <t>Стоимость             ВСЕГО,         тыс. рублей</t>
  </si>
  <si>
    <t>субсидии            из областного бюджета</t>
  </si>
  <si>
    <t xml:space="preserve">Капитальный ремонт автодороги  по ул. Полевая             в с. Веселое </t>
  </si>
  <si>
    <t>Капитальный ремонт подъезда к детскому саду «Теремок», с. Веселое</t>
  </si>
  <si>
    <t>с. Холодное, ул. Родниковая</t>
  </si>
  <si>
    <t xml:space="preserve">Капитальный ремонт мостовых сооружений                             и путепроводов в г. Белгороде. Город Белгород, мост через р. Везелка по ул. Н. Чумичова </t>
  </si>
  <si>
    <t>Капитальный ремонт пр. Ватутина от ул. 5 Августа      до ул. Князя Трубецкого в г. Белгороде (2 этап)</t>
  </si>
  <si>
    <t>Капитальный ремонт путепровода через ж/д пути по ул. Михайловское шоссе в г. Белгороде</t>
  </si>
  <si>
    <t>Капитальный ремонт автодорог в МКР ИЖС,                    в том числе</t>
  </si>
  <si>
    <t>Капитальный ремонт автодороги по ул. Щорса                  в г. Валуйки</t>
  </si>
  <si>
    <t>Капитальный ремонт автодороги по ул. Никольская                             в г. Валуйки</t>
  </si>
  <si>
    <t xml:space="preserve">Капитальный ремонт автодороги по ул. Кольцевая                                       в с. Принцевка </t>
  </si>
  <si>
    <t>Капитальный ремонт автодороги  по ул. Подгорная                      в с. Черменевка</t>
  </si>
  <si>
    <t>с. Сорокино, ул. Тракторная, ул. Дачная,                                                  п. Аксеновка, ул. Песочная</t>
  </si>
  <si>
    <t>Капитальный ремонт автомобильных дорог                   в микрорайоне ИЖС  «Строитель» с. Незнамово                                            (с устройством наружного освещения)</t>
  </si>
  <si>
    <t>с. Круглое, ул. Красный Боец</t>
  </si>
  <si>
    <t>с. Камызино, ул. Пролетарская, ул. Горького</t>
  </si>
  <si>
    <t>с. Стрелецкое</t>
  </si>
  <si>
    <t>с. Верхососна</t>
  </si>
  <si>
    <t>с. Засосна</t>
  </si>
  <si>
    <t xml:space="preserve">г. Бирюч, ул. Красных Партизан </t>
  </si>
  <si>
    <t>с. Малиново, ул. Зеленая</t>
  </si>
  <si>
    <t xml:space="preserve">Приложение № 9                                                                                                                                                     к государственной программе Белгородской области                                          «Совершенствование и развитие транспортной системы                                                              и  дорожной сети  Белгородской области»  </t>
  </si>
  <si>
    <t>МКР ИЖС «Тополек», п. Дубовое</t>
  </si>
  <si>
    <t>с. Репное, МКР «Наследие», ул. Геройская</t>
  </si>
  <si>
    <t xml:space="preserve">МКР ИЖС «Стрелецкое 72», ул. Казанская  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</si>
  <si>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Беловское-53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</t>
    </r>
  </si>
  <si>
    <t xml:space="preserve">МКР ИЖС  «Стрелецкое - 23А», ул. Обьездная </t>
  </si>
  <si>
    <t>МКР ИЖС «Таврово - 8», ул. Лирическая</t>
  </si>
  <si>
    <t xml:space="preserve">МКР  «Таврово - 4», ул. Рабочая </t>
  </si>
  <si>
    <t xml:space="preserve">МКР ИЖС «Северный - 11», ул. Реликтовая </t>
  </si>
  <si>
    <t xml:space="preserve">МКР ИЖС  «Таврово - 5», пер. Абрикосовый 
</t>
  </si>
  <si>
    <t>МКР ИЖС «Стрелецкое-59», ул. Фартовая</t>
  </si>
  <si>
    <t>с. Пушкарное, ул. Народная                                                                                                  подъезд к домам № 2 - № 8</t>
  </si>
  <si>
    <t>с. Пушкарное, ул. Народная                                                                                                                      подъездная дорога к домам № 66 - № 68</t>
  </si>
  <si>
    <t>МКР  ИЖС «Разумное - 81»</t>
  </si>
  <si>
    <t>МКР ИЖС «Новосадовый - 26», ул. Звездная</t>
  </si>
  <si>
    <t>с. Шишино, МКР  ИЖС «Шишино - 39»,                                                       от ул. Харьковская до ул. Рубежная</t>
  </si>
  <si>
    <t xml:space="preserve">с. Драгунское, МКР ИЖС  «Драгунское - 4» </t>
  </si>
  <si>
    <t>МКР ИЖС  «Таврово - 4», ул. Луговая</t>
  </si>
  <si>
    <t>с. Таврово, МКР ИЖС «Таврово - 10»,                                  ул. Рубежная, ул. Звездная</t>
  </si>
  <si>
    <t>МКР ИЖС «Стрелецкое - 83»,  ул.Черникова,               ул. Рубежная, проезды</t>
  </si>
  <si>
    <t xml:space="preserve">с. Беловское, ул. Буханова </t>
  </si>
  <si>
    <t>с. Беломестное, ул. Набережная</t>
  </si>
  <si>
    <t>МКР ИЖС «Таврово - 4», ул. Лесная, 2 а</t>
  </si>
  <si>
    <t>МКР ИЖС «Таврово - 10», пер. Алмазный</t>
  </si>
  <si>
    <t>с. Пушкарное, ул. Белогорье</t>
  </si>
  <si>
    <t>МКР ИЖС «Разумное - 54», ул. Кедровая</t>
  </si>
  <si>
    <t>МКР  ИЖС «Разумное - 71», ул. Рублевская</t>
  </si>
  <si>
    <t>п. Дубовое, ул. Садовая                                                                 на участке от д. № 92 до д. № 102</t>
  </si>
  <si>
    <t xml:space="preserve">с. Ерик,  ул.Магистральная </t>
  </si>
  <si>
    <t>п. Разумное, ул. им. И.Д. Елисеева</t>
  </si>
  <si>
    <t>х. Тараканов (в щебне)</t>
  </si>
  <si>
    <t>с. Стригуны, ул. Ленина</t>
  </si>
  <si>
    <t>с. Малотроицкое, ул. Дружная - ул. Молодежная</t>
  </si>
  <si>
    <t>с. Орлик, ул. Голофеевская</t>
  </si>
  <si>
    <t>с. Волотово, ул. В. Грачевка</t>
  </si>
  <si>
    <t>с. Русская Халань, ул. Луговая</t>
  </si>
  <si>
    <t>п. Чернянка</t>
  </si>
  <si>
    <t>Ремонт улично-дорожной сети муниципального округа, в том числе</t>
  </si>
  <si>
    <t>Шебекинский муниципальный округ</t>
  </si>
  <si>
    <t>Ремонт улично-дорожной сети муниципального округа</t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</si>
  <si>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Севрюково, 62.25», ул. Раздольная,               ул. Мира, ул. Славы, ул. Привольная</t>
    </r>
  </si>
  <si>
    <r>
      <t xml:space="preserve">МКР ИЖС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Комсомольский - 50</t>
    </r>
    <r>
      <rPr>
        <sz val="14"/>
        <rFont val="Calibri"/>
        <family val="2"/>
        <charset val="204"/>
      </rPr>
      <t xml:space="preserve">», </t>
    </r>
    <r>
      <rPr>
        <sz val="14"/>
        <rFont val="Times New Roman"/>
        <family val="1"/>
        <charset val="204"/>
      </rPr>
      <t>ул. Весенняя,                 ул. Цветочная, ул. Береговая, пер. Береговой,                 ул. Ягодная, пер. Ягодный, ул. Озерная,                             пер. Озерный</t>
    </r>
  </si>
  <si>
    <t>с. Драгунское,  МКР  ИЖС «Садовый»,                            ул. Некрасова, проезд между ул. Некрасова                               и ул. Пушкина, ул. Овражная</t>
  </si>
  <si>
    <t>МКР ИЖС «Северный-20, 20А», ул. Гоголя,                  ул. Славянская, ул. Знаменская,  ул. Кольцевая,                  ул. Малиновая</t>
  </si>
  <si>
    <t>с.Ближняя Игуменка,                                                             МКР ИЖС «Ближняя Игуменка - 1.19»,                         ул. Ягодная, от ул. Голубые Дали до ул. Песчаная</t>
  </si>
  <si>
    <t>с. Беленихино, ул. Ватутина</t>
  </si>
  <si>
    <t>с. Верхнее Кузькино, ул. Речная</t>
  </si>
  <si>
    <t>Капитальный ремонт улично-дорожной сети                       с. Остроухово</t>
  </si>
  <si>
    <t>Ремонт мостов через реку Локня в с. Красный Куток</t>
  </si>
  <si>
    <t xml:space="preserve">Ремонт автодороги от с. Поминово до с. Гладково </t>
  </si>
  <si>
    <t>Капитальный ремонт улично-дорожной сети округа, в том числе</t>
  </si>
  <si>
    <t>№    п/п</t>
  </si>
  <si>
    <t xml:space="preserve">с. Дальняя Игуменка, МКР ИЖС «Игуменка - 79» </t>
  </si>
  <si>
    <t xml:space="preserve"> Перечень объектов капитального ремонта и ремонта автодорог местного значения и искусственных сооружений на них в Белгородской области на 2025 - 2027 годы    </t>
  </si>
  <si>
    <t>Ремонт улично-дорожной сети городского округа, в том числе</t>
  </si>
  <si>
    <t xml:space="preserve">Ремонт моста через ручей на ул. Привокзальная           в с. Беленькое </t>
  </si>
  <si>
    <t>с. Бехтеевка, ул. Калинина (от ул. Зеленой                                       до ул. Ворошилова)</t>
  </si>
  <si>
    <t>Ремонт улично-дорожной сети города</t>
  </si>
  <si>
    <t xml:space="preserve">Капитальный ремонт улично-дорожной сети города, в том числе </t>
  </si>
  <si>
    <t>Ивнянский муниципальный округ</t>
  </si>
  <si>
    <t>Корочанский муниципальный округ</t>
  </si>
  <si>
    <t>Красненский муниципальный округ</t>
  </si>
  <si>
    <t>Красногвардейский муниципальный округ</t>
  </si>
  <si>
    <t>Волоконовский муниципальный округ</t>
  </si>
  <si>
    <t>Борисовский муниципальный округ</t>
  </si>
  <si>
    <t>Белгородский муниципальный округ</t>
  </si>
  <si>
    <t>Краснояружский  муниципальный округ</t>
  </si>
  <si>
    <t>Прохоровский муниципальный округ</t>
  </si>
  <si>
    <t>Ракитянский муниципальный округ</t>
  </si>
  <si>
    <t>Чернянский муниципальный округ</t>
  </si>
  <si>
    <t>Капитальный ремонт по ул. Чапаева от дома  № 73 до дома № 79 в с. Ливенка</t>
  </si>
  <si>
    <t>п. Прохоровка, ул. Правды</t>
  </si>
  <si>
    <t>Капитальный ремонт автодороги по ул. Северо - Донецкая от ул. Волчанская до центрального пляжа в г. Белгороде</t>
  </si>
  <si>
    <t>Министр автомобильных дорог и транспорта Белгородской области</t>
  </si>
  <si>
    <t>С.В. Евтушенко</t>
  </si>
  <si>
    <t>Капитальный ремонт ул. Преображенская                                           в г. Белгороде (1 - й этап: от ул. Вокзальная                               до ул. Кн. Трубецкого)</t>
  </si>
  <si>
    <t>Капитальный ремонт проезда в районе автодороги Таврово - Соломино - Разумное в г. Белгороде</t>
  </si>
  <si>
    <t>п. Ракитное, пер. Пролетарский</t>
  </si>
  <si>
    <t>п. Северный, ул. Магистральная (с уширением проезжей части на 1 полосу)</t>
  </si>
  <si>
    <t>МКР ИЖС  «Беловское - 53»</t>
  </si>
  <si>
    <t>МКР ИЖС «Крутой Лог - 24 а», ул. Абрикосовая</t>
  </si>
  <si>
    <t>МКР ИЖС «Крутой Лог - 24 а», ул. Каштановая</t>
  </si>
  <si>
    <t>п. Разумное, ул. Народная</t>
  </si>
  <si>
    <t>МКР ИЖС «Стрелецкое - 83»,  ул. Рыжкова,                   ул. 252 Стрелковой Дивизии</t>
  </si>
  <si>
    <t>МКР ИЖС «Комсомольский - 49», ул. Вишневая</t>
  </si>
  <si>
    <t>п. Таврово - 2, пер. Восточный</t>
  </si>
  <si>
    <t xml:space="preserve">     Наименование городских и муниципальных округов, поселений, населенных пунктов</t>
  </si>
  <si>
    <t>г. Бирюч, ул. Мира</t>
  </si>
  <si>
    <t>г. Алексеевка, ул. Пушкина</t>
  </si>
  <si>
    <t>г. Алексеевка, ул. Мостовая</t>
  </si>
  <si>
    <t>г. Алексеевка, пер. Южный, ул. Трудовая</t>
  </si>
  <si>
    <t>г. Алексеевка, ул. П. Ющенко</t>
  </si>
  <si>
    <t>г. Алексеевка, ул. Красноармейская</t>
  </si>
  <si>
    <t>г. Грайворон, ул. Пролетарская</t>
  </si>
  <si>
    <t>г. Грайворон, ул. Горького</t>
  </si>
  <si>
    <t>г. Грайворон, ул. Шухова</t>
  </si>
  <si>
    <t>г. Грайворон, ул. Интернациональная</t>
  </si>
  <si>
    <t>г. Грайворон, ул. Февральская</t>
  </si>
  <si>
    <t>с. Головчино, ул. Ленина</t>
  </si>
  <si>
    <t>п. Прохоровка, ул. Льва Толстого</t>
  </si>
  <si>
    <t>п. Прохоровка, ул. М. Горького</t>
  </si>
  <si>
    <t>п. Прохоровка, ул. Лермонтова (2-й участок)</t>
  </si>
  <si>
    <t>п. Прохоровка, ул. Садовая, дом 52 а -                                           ул. Красина, дом 19 в</t>
  </si>
  <si>
    <t>п. Прохоровка, ул. Титова</t>
  </si>
  <si>
    <t>п. Прохоровка, ул. Молодежная</t>
  </si>
  <si>
    <t>п. Прохоровка, ул. 6 - февраля</t>
  </si>
  <si>
    <t>п. Прохоровка, ул. Российская</t>
  </si>
  <si>
    <t>Ремонт моста с. Ржавец, ул. Луговая</t>
  </si>
  <si>
    <t>с. Лозное, ул. Шевелева</t>
  </si>
  <si>
    <t>с. Новоречье, ул. Зеленая</t>
  </si>
  <si>
    <t>г. Шебекино</t>
  </si>
  <si>
    <t>с. Бершаково</t>
  </si>
  <si>
    <t>с. Белый Колодезь</t>
  </si>
  <si>
    <t>с. Булановка</t>
  </si>
  <si>
    <t>пос. Шебекинский</t>
  </si>
  <si>
    <t>п. Ивня, ул. Советская</t>
  </si>
  <si>
    <t xml:space="preserve">п. Ивня, подъезд к Дворцу культуры </t>
  </si>
  <si>
    <t>п. Ивня, ул. 70 лет Октября</t>
  </si>
  <si>
    <t>п. Ивня, ул. Мира</t>
  </si>
  <si>
    <t>с. Рождественка, ул. Дружбы</t>
  </si>
  <si>
    <t>г. Алексеевка, ул. Революционная                                                         (подходы к путепроводу)</t>
  </si>
  <si>
    <t>с. Новоселовка-Первая</t>
  </si>
  <si>
    <t>Ремонт водопропускного сооружения через                                             р. Донецкая Сеймица с. Масловка,                                    ул. ГСС Дмитриева В.С.</t>
  </si>
  <si>
    <t>с. Русская Халань, пер. 5-й Центральный</t>
  </si>
  <si>
    <t>с. Маслова Пристань</t>
  </si>
  <si>
    <t>с. Крапивное</t>
  </si>
  <si>
    <t>с. Окуни, пер. Лесной</t>
  </si>
  <si>
    <t>с. Волоконовка</t>
  </si>
  <si>
    <t>п. Красный Остров</t>
  </si>
  <si>
    <t>х. Тополи - с. Антоновка ( 2 очередь)</t>
  </si>
  <si>
    <t>г. Грайворон, ул. Урицкого</t>
  </si>
  <si>
    <t>Ремонт подъездной автодороги к полигону ТБО                     в г. Губкине, км 0+000 - км 0+313</t>
  </si>
  <si>
    <t>Капитальный ремонт подъездной автодороги                    к полигону ТБО в г. Губкине, км 0+313 -                            км 2+406</t>
  </si>
  <si>
    <t>МКР ИЖС  «Севрюково, 62.25», ул. Грушевая -        ул. Малиновая</t>
  </si>
  <si>
    <t>Ремонт автодороги в х. Плотва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</si>
</sst>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#,##0_р_."/>
    <numFmt numFmtId="168" formatCode="#,##0.0_р_."/>
    <numFmt numFmtId="169" formatCode="#,##0.00000"/>
    <numFmt numFmtId="170" formatCode="#,##0.000_р_."/>
    <numFmt numFmtId="171" formatCode="0.000"/>
    <numFmt numFmtId="172" formatCode="#,##0.000000"/>
    <numFmt numFmtId="173" formatCode="0.0000"/>
  </numFmts>
  <fonts count="23">
    <font>
      <sz val="10"/>
      <name val="Arial"/>
      <charset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4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4" fillId="0" borderId="0" xfId="5" applyFont="1" applyBorder="1" applyAlignment="1" applyProtection="1">
      <alignment horizontal="center" vertical="center" wrapText="1"/>
    </xf>
    <xf numFmtId="0" fontId="4" fillId="0" borderId="0" xfId="5" applyFont="1" applyBorder="1" applyAlignment="1" applyProtection="1">
      <alignment vertical="center" wrapText="1"/>
    </xf>
    <xf numFmtId="0" fontId="4" fillId="0" borderId="0" xfId="6" applyFont="1" applyBorder="1" applyAlignment="1" applyProtection="1">
      <alignment vertical="center" wrapText="1"/>
    </xf>
    <xf numFmtId="0" fontId="5" fillId="0" borderId="0" xfId="6" applyFont="1" applyBorder="1" applyAlignment="1" applyProtection="1">
      <alignment vertical="center" wrapText="1"/>
    </xf>
    <xf numFmtId="0" fontId="1" fillId="0" borderId="0" xfId="6" applyFont="1" applyAlignment="1" applyProtection="1"/>
    <xf numFmtId="0" fontId="0" fillId="0" borderId="0" xfId="5" applyFont="1" applyBorder="1" applyAlignment="1" applyProtection="1"/>
    <xf numFmtId="0" fontId="1" fillId="0" borderId="0" xfId="6" applyFont="1" applyBorder="1" applyAlignment="1" applyProtection="1"/>
    <xf numFmtId="0" fontId="1" fillId="0" borderId="1" xfId="6" applyFont="1" applyBorder="1" applyAlignment="1" applyProtection="1"/>
    <xf numFmtId="0" fontId="8" fillId="0" borderId="0" xfId="6" applyFont="1" applyAlignment="1" applyProtection="1"/>
    <xf numFmtId="0" fontId="9" fillId="0" borderId="0" xfId="6" applyFont="1" applyAlignment="1" applyProtection="1">
      <alignment horizontal="center"/>
    </xf>
    <xf numFmtId="0" fontId="7" fillId="0" borderId="13" xfId="5" applyFont="1" applyBorder="1" applyAlignment="1" applyProtection="1">
      <alignment horizontal="center" vertical="center" wrapText="1"/>
    </xf>
    <xf numFmtId="0" fontId="7" fillId="0" borderId="14" xfId="5" applyFont="1" applyBorder="1" applyAlignment="1" applyProtection="1">
      <alignment horizontal="center" vertical="center" wrapText="1"/>
    </xf>
    <xf numFmtId="0" fontId="7" fillId="0" borderId="12" xfId="5" applyFont="1" applyBorder="1" applyAlignment="1" applyProtection="1">
      <alignment horizontal="center" vertical="center" wrapText="1"/>
    </xf>
    <xf numFmtId="0" fontId="10" fillId="0" borderId="39" xfId="5" applyFont="1" applyBorder="1" applyAlignment="1" applyProtection="1">
      <alignment horizontal="center" vertical="center" wrapText="1"/>
    </xf>
    <xf numFmtId="0" fontId="10" fillId="0" borderId="40" xfId="5" applyFont="1" applyBorder="1" applyAlignment="1" applyProtection="1">
      <alignment horizontal="center" vertical="center" wrapText="1"/>
    </xf>
    <xf numFmtId="0" fontId="10" fillId="0" borderId="41" xfId="5" applyFont="1" applyBorder="1" applyAlignment="1" applyProtection="1">
      <alignment horizontal="center" vertical="center" wrapText="1"/>
    </xf>
    <xf numFmtId="0" fontId="10" fillId="0" borderId="42" xfId="5" applyFont="1" applyBorder="1" applyAlignment="1" applyProtection="1">
      <alignment horizontal="center" vertical="center" wrapText="1"/>
    </xf>
    <xf numFmtId="0" fontId="4" fillId="0" borderId="15" xfId="5" applyFont="1" applyBorder="1" applyAlignment="1" applyProtection="1">
      <alignment horizontal="center" vertical="center" wrapText="1"/>
    </xf>
    <xf numFmtId="0" fontId="4" fillId="0" borderId="16" xfId="5" applyFont="1" applyBorder="1" applyAlignment="1" applyProtection="1">
      <alignment horizontal="center" vertical="center" wrapText="1"/>
    </xf>
    <xf numFmtId="0" fontId="4" fillId="0" borderId="17" xfId="5" applyFont="1" applyBorder="1" applyAlignment="1" applyProtection="1">
      <alignment horizontal="center" vertical="center" wrapText="1"/>
    </xf>
    <xf numFmtId="0" fontId="4" fillId="0" borderId="18" xfId="5" applyFont="1" applyBorder="1" applyAlignment="1" applyProtection="1">
      <alignment horizontal="center" vertical="center" wrapText="1"/>
    </xf>
    <xf numFmtId="0" fontId="1" fillId="0" borderId="0" xfId="6" applyFont="1" applyAlignment="1" applyProtection="1">
      <alignment horizontal="center"/>
    </xf>
    <xf numFmtId="0" fontId="1" fillId="0" borderId="0" xfId="6" applyFont="1" applyBorder="1" applyAlignment="1" applyProtection="1">
      <alignment horizontal="center"/>
    </xf>
    <xf numFmtId="1" fontId="5" fillId="0" borderId="20" xfId="7" applyNumberFormat="1" applyFont="1" applyBorder="1" applyAlignment="1" applyProtection="1">
      <alignment horizontal="center" vertical="center" wrapText="1"/>
    </xf>
    <xf numFmtId="0" fontId="5" fillId="0" borderId="20" xfId="5" applyFont="1" applyBorder="1" applyAlignment="1" applyProtection="1">
      <alignment horizontal="center" vertical="center" wrapText="1"/>
    </xf>
    <xf numFmtId="0" fontId="5" fillId="0" borderId="7" xfId="5" applyFont="1" applyBorder="1" applyAlignment="1" applyProtection="1">
      <alignment horizontal="left" vertical="center" wrapText="1"/>
    </xf>
    <xf numFmtId="164" fontId="5" fillId="0" borderId="7" xfId="5" applyNumberFormat="1" applyFont="1" applyBorder="1" applyAlignment="1" applyProtection="1">
      <alignment horizontal="center" vertical="center" wrapText="1"/>
    </xf>
    <xf numFmtId="164" fontId="5" fillId="0" borderId="8" xfId="5" applyNumberFormat="1" applyFont="1" applyBorder="1" applyAlignment="1" applyProtection="1">
      <alignment horizontal="center" vertical="center" wrapText="1"/>
    </xf>
    <xf numFmtId="164" fontId="5" fillId="0" borderId="0" xfId="5" applyNumberFormat="1" applyFont="1" applyBorder="1" applyAlignment="1" applyProtection="1">
      <alignment horizontal="center" vertical="center" wrapText="1"/>
    </xf>
    <xf numFmtId="0" fontId="11" fillId="0" borderId="0" xfId="6" applyFont="1" applyBorder="1" applyAlignment="1" applyProtection="1">
      <alignment horizontal="center"/>
    </xf>
    <xf numFmtId="0" fontId="4" fillId="0" borderId="21" xfId="5" applyFont="1" applyBorder="1" applyAlignment="1" applyProtection="1">
      <alignment horizontal="center" vertical="center" wrapText="1"/>
    </xf>
    <xf numFmtId="0" fontId="12" fillId="0" borderId="22" xfId="5" applyFont="1" applyBorder="1" applyAlignment="1" applyProtection="1">
      <alignment vertical="center" wrapText="1"/>
    </xf>
    <xf numFmtId="164" fontId="5" fillId="0" borderId="7" xfId="5" applyNumberFormat="1" applyFont="1" applyFill="1" applyBorder="1" applyAlignment="1" applyProtection="1">
      <alignment horizontal="center" vertical="center" wrapText="1"/>
    </xf>
    <xf numFmtId="164" fontId="5" fillId="0" borderId="11" xfId="5" applyNumberFormat="1" applyFont="1" applyFill="1" applyBorder="1" applyAlignment="1" applyProtection="1">
      <alignment horizontal="center" vertical="center" wrapText="1"/>
    </xf>
    <xf numFmtId="0" fontId="4" fillId="0" borderId="7" xfId="6" applyFont="1" applyBorder="1" applyAlignment="1" applyProtection="1">
      <alignment vertical="center" wrapText="1"/>
    </xf>
    <xf numFmtId="0" fontId="4" fillId="0" borderId="8" xfId="6" applyFont="1" applyBorder="1" applyAlignment="1" applyProtection="1">
      <alignment vertical="center" wrapText="1"/>
    </xf>
    <xf numFmtId="0" fontId="1" fillId="0" borderId="25" xfId="6" applyFont="1" applyBorder="1" applyAlignment="1" applyProtection="1"/>
    <xf numFmtId="0" fontId="1" fillId="0" borderId="23" xfId="6" applyFont="1" applyBorder="1" applyAlignment="1" applyProtection="1"/>
    <xf numFmtId="0" fontId="1" fillId="0" borderId="22" xfId="6" applyFont="1" applyBorder="1" applyAlignment="1" applyProtection="1"/>
    <xf numFmtId="0" fontId="1" fillId="0" borderId="24" xfId="6" applyFont="1" applyBorder="1" applyAlignment="1" applyProtection="1"/>
    <xf numFmtId="164" fontId="5" fillId="0" borderId="0" xfId="5" applyNumberFormat="1" applyFont="1" applyFill="1" applyBorder="1" applyAlignment="1" applyProtection="1">
      <alignment horizontal="center" vertical="center" wrapText="1"/>
    </xf>
    <xf numFmtId="0" fontId="13" fillId="0" borderId="26" xfId="5" applyFont="1" applyBorder="1" applyAlignment="1" applyProtection="1">
      <alignment horizontal="center" vertical="center" wrapText="1"/>
    </xf>
    <xf numFmtId="0" fontId="12" fillId="0" borderId="11" xfId="8" applyFont="1" applyBorder="1" applyAlignment="1" applyProtection="1">
      <alignment horizontal="left" vertical="center" wrapText="1"/>
    </xf>
    <xf numFmtId="164" fontId="12" fillId="0" borderId="7" xfId="5" applyNumberFormat="1" applyFont="1" applyBorder="1" applyAlignment="1" applyProtection="1">
      <alignment horizontal="center" vertical="center" wrapText="1"/>
    </xf>
    <xf numFmtId="165" fontId="12" fillId="0" borderId="7" xfId="5" applyNumberFormat="1" applyFont="1" applyBorder="1" applyAlignment="1" applyProtection="1">
      <alignment horizontal="center" vertical="center" wrapText="1"/>
    </xf>
    <xf numFmtId="164" fontId="12" fillId="0" borderId="11" xfId="5" applyNumberFormat="1" applyFont="1" applyBorder="1" applyAlignment="1" applyProtection="1">
      <alignment horizontal="center" vertical="center" wrapText="1"/>
    </xf>
    <xf numFmtId="0" fontId="8" fillId="0" borderId="7" xfId="6" applyFont="1" applyBorder="1" applyAlignment="1" applyProtection="1"/>
    <xf numFmtId="0" fontId="8" fillId="0" borderId="8" xfId="6" applyFont="1" applyBorder="1" applyAlignment="1" applyProtection="1"/>
    <xf numFmtId="0" fontId="1" fillId="0" borderId="9" xfId="6" applyFont="1" applyBorder="1" applyAlignment="1" applyProtection="1"/>
    <xf numFmtId="0" fontId="1" fillId="0" borderId="7" xfId="6" applyFont="1" applyBorder="1" applyAlignment="1" applyProtection="1"/>
    <xf numFmtId="0" fontId="1" fillId="0" borderId="11" xfId="6" applyFont="1" applyBorder="1" applyAlignment="1" applyProtection="1"/>
    <xf numFmtId="0" fontId="1" fillId="0" borderId="8" xfId="6" applyFont="1" applyBorder="1" applyAlignment="1" applyProtection="1"/>
    <xf numFmtId="164" fontId="1" fillId="0" borderId="0" xfId="6" applyNumberFormat="1" applyFont="1" applyBorder="1" applyAlignment="1" applyProtection="1"/>
    <xf numFmtId="166" fontId="14" fillId="0" borderId="7" xfId="6" applyNumberFormat="1" applyFont="1" applyBorder="1" applyAlignment="1" applyProtection="1"/>
    <xf numFmtId="3" fontId="12" fillId="0" borderId="7" xfId="5" applyNumberFormat="1" applyFont="1" applyBorder="1" applyAlignment="1" applyProtection="1">
      <alignment horizontal="center" vertical="center" wrapText="1"/>
    </xf>
    <xf numFmtId="3" fontId="10" fillId="0" borderId="9" xfId="5" applyNumberFormat="1" applyFont="1" applyBorder="1" applyAlignment="1" applyProtection="1">
      <alignment horizontal="center" vertical="center" wrapText="1"/>
    </xf>
    <xf numFmtId="3" fontId="10" fillId="0" borderId="7" xfId="5" applyNumberFormat="1" applyFont="1" applyBorder="1" applyAlignment="1" applyProtection="1">
      <alignment horizontal="center" vertical="center" wrapText="1"/>
    </xf>
    <xf numFmtId="3" fontId="10" fillId="0" borderId="11" xfId="5" applyNumberFormat="1" applyFont="1" applyBorder="1" applyAlignment="1" applyProtection="1">
      <alignment horizontal="center" vertical="center" wrapText="1"/>
    </xf>
    <xf numFmtId="0" fontId="5" fillId="0" borderId="11" xfId="8" applyFont="1" applyBorder="1" applyAlignment="1" applyProtection="1">
      <alignment horizontal="center" vertical="center" wrapText="1"/>
    </xf>
    <xf numFmtId="164" fontId="10" fillId="0" borderId="7" xfId="5" applyNumberFormat="1" applyFont="1" applyBorder="1" applyAlignment="1" applyProtection="1">
      <alignment horizontal="center" vertical="center" wrapText="1"/>
    </xf>
    <xf numFmtId="164" fontId="10" fillId="0" borderId="11" xfId="5" applyNumberFormat="1" applyFont="1" applyBorder="1" applyAlignment="1" applyProtection="1">
      <alignment horizontal="center" vertical="center" wrapText="1"/>
    </xf>
    <xf numFmtId="164" fontId="10" fillId="0" borderId="9" xfId="5" applyNumberFormat="1" applyFont="1" applyBorder="1" applyAlignment="1" applyProtection="1">
      <alignment horizontal="center" vertical="center" wrapText="1"/>
    </xf>
    <xf numFmtId="164" fontId="10" fillId="0" borderId="8" xfId="5" applyNumberFormat="1" applyFont="1" applyBorder="1" applyAlignment="1" applyProtection="1">
      <alignment horizontal="center" vertical="center" wrapText="1"/>
    </xf>
    <xf numFmtId="3" fontId="10" fillId="0" borderId="0" xfId="5" applyNumberFormat="1" applyFont="1" applyBorder="1" applyAlignment="1" applyProtection="1">
      <alignment horizontal="center" vertical="center" wrapText="1"/>
    </xf>
    <xf numFmtId="0" fontId="1" fillId="0" borderId="0" xfId="6" applyFont="1" applyBorder="1" applyAlignment="1" applyProtection="1">
      <alignment horizontal="right"/>
    </xf>
    <xf numFmtId="0" fontId="4" fillId="0" borderId="26" xfId="5" applyFont="1" applyBorder="1" applyAlignment="1" applyProtection="1">
      <alignment horizontal="center" vertical="center" wrapText="1"/>
    </xf>
    <xf numFmtId="0" fontId="4" fillId="0" borderId="11" xfId="8" applyFont="1" applyBorder="1" applyAlignment="1" applyProtection="1">
      <alignment horizontal="left" vertical="center" wrapText="1"/>
    </xf>
    <xf numFmtId="166" fontId="4" fillId="0" borderId="7" xfId="5" applyNumberFormat="1" applyFont="1" applyBorder="1" applyAlignment="1" applyProtection="1">
      <alignment horizontal="center" vertical="center" wrapText="1"/>
    </xf>
    <xf numFmtId="167" fontId="4" fillId="0" borderId="7" xfId="5" applyNumberFormat="1" applyFont="1" applyBorder="1" applyAlignment="1" applyProtection="1">
      <alignment horizontal="center" vertical="center"/>
    </xf>
    <xf numFmtId="168" fontId="4" fillId="0" borderId="7" xfId="5" applyNumberFormat="1" applyFont="1" applyBorder="1" applyAlignment="1" applyProtection="1">
      <alignment horizontal="center" vertical="center"/>
    </xf>
    <xf numFmtId="170" fontId="4" fillId="0" borderId="7" xfId="5" applyNumberFormat="1" applyFont="1" applyBorder="1" applyAlignment="1" applyProtection="1">
      <alignment horizontal="center" vertical="center"/>
    </xf>
    <xf numFmtId="164" fontId="4" fillId="0" borderId="7" xfId="5" applyNumberFormat="1" applyFont="1" applyBorder="1" applyAlignment="1" applyProtection="1">
      <alignment horizontal="center" vertical="center" wrapText="1"/>
    </xf>
    <xf numFmtId="164" fontId="4" fillId="0" borderId="11" xfId="5" applyNumberFormat="1" applyFont="1" applyBorder="1" applyAlignment="1" applyProtection="1">
      <alignment horizontal="center" vertical="center" wrapText="1"/>
    </xf>
    <xf numFmtId="166" fontId="4" fillId="0" borderId="9" xfId="5" applyNumberFormat="1" applyFont="1" applyBorder="1" applyAlignment="1" applyProtection="1">
      <alignment horizontal="center" vertical="center" wrapText="1"/>
    </xf>
    <xf numFmtId="164" fontId="4" fillId="0" borderId="8" xfId="5" applyNumberFormat="1" applyFont="1" applyBorder="1" applyAlignment="1" applyProtection="1">
      <alignment horizontal="center" vertical="center" wrapText="1"/>
    </xf>
    <xf numFmtId="167" fontId="4" fillId="0" borderId="11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Border="1" applyAlignment="1" applyProtection="1">
      <alignment horizontal="center" vertical="center" wrapText="1"/>
    </xf>
    <xf numFmtId="166" fontId="10" fillId="0" borderId="0" xfId="5" applyNumberFormat="1" applyFont="1" applyBorder="1" applyAlignment="1" applyProtection="1">
      <alignment horizontal="center" vertical="center" wrapText="1"/>
    </xf>
    <xf numFmtId="165" fontId="1" fillId="0" borderId="0" xfId="6" applyNumberFormat="1" applyFont="1" applyBorder="1" applyAlignment="1" applyProtection="1"/>
    <xf numFmtId="164" fontId="1" fillId="0" borderId="0" xfId="6" applyNumberFormat="1" applyFont="1" applyAlignment="1" applyProtection="1"/>
    <xf numFmtId="0" fontId="4" fillId="0" borderId="26" xfId="5" applyFont="1" applyFill="1" applyBorder="1" applyAlignment="1" applyProtection="1">
      <alignment horizontal="center" vertical="center" wrapText="1"/>
    </xf>
    <xf numFmtId="0" fontId="10" fillId="0" borderId="11" xfId="8" applyFont="1" applyFill="1" applyBorder="1" applyAlignment="1" applyProtection="1">
      <alignment horizontal="left" vertical="center" wrapText="1"/>
    </xf>
    <xf numFmtId="166" fontId="4" fillId="0" borderId="7" xfId="5" applyNumberFormat="1" applyFont="1" applyFill="1" applyBorder="1" applyAlignment="1" applyProtection="1">
      <alignment horizontal="center" vertical="center" wrapText="1"/>
    </xf>
    <xf numFmtId="164" fontId="10" fillId="0" borderId="7" xfId="5" applyNumberFormat="1" applyFont="1" applyFill="1" applyBorder="1" applyAlignment="1" applyProtection="1">
      <alignment horizontal="center" vertical="center" wrapText="1"/>
    </xf>
    <xf numFmtId="164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11" xfId="8" applyFont="1" applyFill="1" applyBorder="1" applyAlignment="1" applyProtection="1">
      <alignment horizontal="left" vertical="center" wrapText="1"/>
    </xf>
    <xf numFmtId="171" fontId="22" fillId="0" borderId="34" xfId="6" applyNumberFormat="1" applyFont="1" applyFill="1" applyBorder="1" applyAlignment="1" applyProtection="1">
      <alignment horizontal="center" vertical="center" wrapText="1"/>
    </xf>
    <xf numFmtId="4" fontId="20" fillId="0" borderId="34" xfId="6" applyNumberFormat="1" applyFont="1" applyFill="1" applyBorder="1" applyAlignment="1" applyProtection="1">
      <alignment horizontal="center" vertical="center"/>
    </xf>
    <xf numFmtId="171" fontId="4" fillId="0" borderId="34" xfId="6" applyNumberFormat="1" applyFont="1" applyFill="1" applyBorder="1" applyAlignment="1" applyProtection="1">
      <alignment horizontal="center" vertical="center"/>
    </xf>
    <xf numFmtId="171" fontId="22" fillId="0" borderId="36" xfId="6" applyNumberFormat="1" applyFont="1" applyFill="1" applyBorder="1" applyAlignment="1" applyProtection="1">
      <alignment horizontal="center" vertical="center" wrapText="1"/>
    </xf>
    <xf numFmtId="4" fontId="20" fillId="0" borderId="36" xfId="6" applyNumberFormat="1" applyFont="1" applyFill="1" applyBorder="1" applyAlignment="1" applyProtection="1">
      <alignment horizontal="center" vertical="center"/>
    </xf>
    <xf numFmtId="0" fontId="4" fillId="0" borderId="21" xfId="5" applyFont="1" applyFill="1" applyBorder="1" applyAlignment="1" applyProtection="1">
      <alignment horizontal="center" vertical="center" wrapText="1"/>
    </xf>
    <xf numFmtId="0" fontId="4" fillId="0" borderId="22" xfId="8" applyFont="1" applyFill="1" applyBorder="1" applyAlignment="1" applyProtection="1">
      <alignment horizontal="left" vertical="center" wrapText="1"/>
    </xf>
    <xf numFmtId="171" fontId="22" fillId="0" borderId="43" xfId="6" applyNumberFormat="1" applyFont="1" applyFill="1" applyBorder="1" applyAlignment="1" applyProtection="1">
      <alignment horizontal="center" vertical="center" wrapText="1"/>
    </xf>
    <xf numFmtId="4" fontId="20" fillId="0" borderId="43" xfId="6" applyNumberFormat="1" applyFont="1" applyFill="1" applyBorder="1" applyAlignment="1" applyProtection="1">
      <alignment horizontal="center" vertical="center"/>
    </xf>
    <xf numFmtId="164" fontId="4" fillId="0" borderId="23" xfId="5" applyNumberFormat="1" applyFont="1" applyFill="1" applyBorder="1" applyAlignment="1" applyProtection="1">
      <alignment horizontal="center" vertical="center" wrapText="1"/>
    </xf>
    <xf numFmtId="164" fontId="10" fillId="0" borderId="23" xfId="5" applyNumberFormat="1" applyFont="1" applyFill="1" applyBorder="1" applyAlignment="1" applyProtection="1">
      <alignment horizontal="center" vertical="center" wrapText="1"/>
    </xf>
    <xf numFmtId="164" fontId="10" fillId="0" borderId="22" xfId="5" applyNumberFormat="1" applyFont="1" applyBorder="1" applyAlignment="1" applyProtection="1">
      <alignment horizontal="center" vertical="center" wrapText="1"/>
    </xf>
    <xf numFmtId="0" fontId="8" fillId="0" borderId="23" xfId="6" applyFont="1" applyBorder="1" applyAlignment="1" applyProtection="1"/>
    <xf numFmtId="0" fontId="8" fillId="0" borderId="24" xfId="6" applyFont="1" applyBorder="1" applyAlignment="1" applyProtection="1"/>
    <xf numFmtId="171" fontId="22" fillId="0" borderId="35" xfId="6" applyNumberFormat="1" applyFont="1" applyFill="1" applyBorder="1" applyAlignment="1" applyProtection="1">
      <alignment horizontal="center" vertical="center" wrapText="1"/>
    </xf>
    <xf numFmtId="4" fontId="20" fillId="0" borderId="35" xfId="6" applyNumberFormat="1" applyFont="1" applyFill="1" applyBorder="1" applyAlignment="1" applyProtection="1">
      <alignment horizontal="center" vertical="center"/>
    </xf>
    <xf numFmtId="0" fontId="4" fillId="0" borderId="13" xfId="8" applyFont="1" applyFill="1" applyBorder="1" applyAlignment="1" applyProtection="1">
      <alignment horizontal="left" vertical="center" wrapText="1"/>
    </xf>
    <xf numFmtId="171" fontId="19" fillId="0" borderId="7" xfId="6" applyNumberFormat="1" applyFont="1" applyFill="1" applyBorder="1" applyAlignment="1" applyProtection="1">
      <alignment horizontal="center" vertical="center" wrapText="1"/>
    </xf>
    <xf numFmtId="4" fontId="21" fillId="0" borderId="7" xfId="6" applyNumberFormat="1" applyFont="1" applyFill="1" applyBorder="1" applyAlignment="1" applyProtection="1">
      <alignment horizontal="center" vertical="center" wrapText="1"/>
    </xf>
    <xf numFmtId="164" fontId="4" fillId="0" borderId="10" xfId="5" applyNumberFormat="1" applyFont="1" applyFill="1" applyBorder="1" applyAlignment="1" applyProtection="1">
      <alignment horizontal="center" vertical="center" wrapText="1"/>
    </xf>
    <xf numFmtId="166" fontId="4" fillId="0" borderId="10" xfId="5" applyNumberFormat="1" applyFont="1" applyFill="1" applyBorder="1" applyAlignment="1" applyProtection="1">
      <alignment horizontal="center" vertical="center" wrapText="1"/>
    </xf>
    <xf numFmtId="164" fontId="10" fillId="0" borderId="10" xfId="5" applyNumberFormat="1" applyFont="1" applyFill="1" applyBorder="1" applyAlignment="1" applyProtection="1">
      <alignment horizontal="center" vertical="center" wrapText="1"/>
    </xf>
    <xf numFmtId="164" fontId="4" fillId="0" borderId="13" xfId="5" applyNumberFormat="1" applyFont="1" applyFill="1" applyBorder="1" applyAlignment="1" applyProtection="1">
      <alignment horizontal="center" vertical="center" wrapText="1"/>
    </xf>
    <xf numFmtId="164" fontId="4" fillId="0" borderId="11" xfId="5" applyNumberFormat="1" applyFont="1" applyFill="1" applyBorder="1" applyAlignment="1" applyProtection="1">
      <alignment horizontal="center" vertical="center" wrapText="1"/>
    </xf>
    <xf numFmtId="164" fontId="10" fillId="0" borderId="25" xfId="5" applyNumberFormat="1" applyFont="1" applyBorder="1" applyAlignment="1" applyProtection="1">
      <alignment horizontal="center" vertical="center" wrapText="1"/>
    </xf>
    <xf numFmtId="3" fontId="10" fillId="0" borderId="23" xfId="5" applyNumberFormat="1" applyFont="1" applyBorder="1" applyAlignment="1" applyProtection="1">
      <alignment horizontal="center" vertical="center" wrapText="1"/>
    </xf>
    <xf numFmtId="3" fontId="10" fillId="0" borderId="22" xfId="5" applyNumberFormat="1" applyFont="1" applyBorder="1" applyAlignment="1" applyProtection="1">
      <alignment horizontal="center" vertical="center" wrapText="1"/>
    </xf>
    <xf numFmtId="164" fontId="10" fillId="0" borderId="24" xfId="5" applyNumberFormat="1" applyFont="1" applyBorder="1" applyAlignment="1" applyProtection="1">
      <alignment horizontal="center" vertical="center" wrapText="1"/>
    </xf>
    <xf numFmtId="4" fontId="20" fillId="0" borderId="34" xfId="6" applyNumberFormat="1" applyFont="1" applyFill="1" applyBorder="1" applyAlignment="1" applyProtection="1">
      <alignment horizontal="center" vertical="center" wrapText="1"/>
    </xf>
    <xf numFmtId="4" fontId="20" fillId="2" borderId="36" xfId="6" applyNumberFormat="1" applyFont="1" applyFill="1" applyBorder="1" applyAlignment="1" applyProtection="1">
      <alignment horizontal="center" vertical="center"/>
    </xf>
    <xf numFmtId="4" fontId="20" fillId="2" borderId="7" xfId="6" applyNumberFormat="1" applyFont="1" applyFill="1" applyBorder="1" applyAlignment="1" applyProtection="1">
      <alignment horizontal="center" vertical="center"/>
    </xf>
    <xf numFmtId="169" fontId="4" fillId="0" borderId="7" xfId="5" applyNumberFormat="1" applyFont="1" applyBorder="1" applyAlignment="1" applyProtection="1">
      <alignment horizontal="center" vertical="center" wrapText="1"/>
    </xf>
    <xf numFmtId="166" fontId="4" fillId="0" borderId="10" xfId="5" applyNumberFormat="1" applyFont="1" applyBorder="1" applyAlignment="1" applyProtection="1">
      <alignment horizontal="center" vertical="center" wrapText="1"/>
    </xf>
    <xf numFmtId="0" fontId="5" fillId="0" borderId="22" xfId="8" applyFont="1" applyBorder="1" applyAlignment="1" applyProtection="1">
      <alignment horizontal="center" vertical="center" wrapText="1"/>
    </xf>
    <xf numFmtId="168" fontId="10" fillId="0" borderId="7" xfId="5" applyNumberFormat="1" applyFont="1" applyBorder="1" applyAlignment="1" applyProtection="1">
      <alignment horizontal="center" vertical="center"/>
    </xf>
    <xf numFmtId="168" fontId="10" fillId="0" borderId="7" xfId="5" applyNumberFormat="1" applyFont="1" applyBorder="1" applyAlignment="1" applyProtection="1">
      <alignment horizontal="center" vertical="center" wrapText="1"/>
    </xf>
    <xf numFmtId="168" fontId="10" fillId="0" borderId="11" xfId="5" applyNumberFormat="1" applyFont="1" applyBorder="1" applyAlignment="1" applyProtection="1">
      <alignment horizontal="center" vertical="center" wrapText="1"/>
    </xf>
    <xf numFmtId="168" fontId="10" fillId="0" borderId="25" xfId="5" applyNumberFormat="1" applyFont="1" applyBorder="1" applyAlignment="1" applyProtection="1">
      <alignment horizontal="center" vertical="center"/>
    </xf>
    <xf numFmtId="168" fontId="10" fillId="0" borderId="23" xfId="5" applyNumberFormat="1" applyFont="1" applyBorder="1" applyAlignment="1" applyProtection="1">
      <alignment horizontal="center" vertical="center"/>
    </xf>
    <xf numFmtId="168" fontId="10" fillId="0" borderId="22" xfId="5" applyNumberFormat="1" applyFont="1" applyBorder="1" applyAlignment="1" applyProtection="1">
      <alignment horizontal="center" vertical="center"/>
    </xf>
    <xf numFmtId="168" fontId="10" fillId="0" borderId="24" xfId="5" applyNumberFormat="1" applyFont="1" applyBorder="1" applyAlignment="1" applyProtection="1">
      <alignment horizontal="center" vertical="center"/>
    </xf>
    <xf numFmtId="170" fontId="10" fillId="0" borderId="0" xfId="5" applyNumberFormat="1" applyFont="1" applyFill="1" applyBorder="1" applyAlignment="1" applyProtection="1">
      <alignment horizontal="center" vertical="center"/>
    </xf>
    <xf numFmtId="166" fontId="1" fillId="0" borderId="7" xfId="6" applyNumberFormat="1" applyFont="1" applyBorder="1" applyAlignment="1" applyProtection="1"/>
    <xf numFmtId="166" fontId="1" fillId="0" borderId="11" xfId="6" applyNumberFormat="1" applyFont="1" applyBorder="1" applyAlignment="1" applyProtection="1"/>
    <xf numFmtId="166" fontId="1" fillId="0" borderId="9" xfId="6" applyNumberFormat="1" applyFont="1" applyBorder="1" applyAlignment="1" applyProtection="1"/>
    <xf numFmtId="0" fontId="4" fillId="0" borderId="22" xfId="8" applyFont="1" applyBorder="1" applyAlignment="1" applyProtection="1">
      <alignment horizontal="left" vertical="center" wrapText="1"/>
    </xf>
    <xf numFmtId="164" fontId="10" fillId="0" borderId="7" xfId="5" applyNumberFormat="1" applyFont="1" applyBorder="1" applyAlignment="1" applyProtection="1">
      <alignment horizontal="center" vertical="center"/>
    </xf>
    <xf numFmtId="164" fontId="10" fillId="0" borderId="11" xfId="5" applyNumberFormat="1" applyFont="1" applyBorder="1" applyAlignment="1" applyProtection="1">
      <alignment horizontal="center" vertical="center"/>
    </xf>
    <xf numFmtId="0" fontId="4" fillId="0" borderId="11" xfId="5" applyFont="1" applyBorder="1" applyAlignment="1" applyProtection="1">
      <alignment vertical="center" wrapText="1"/>
    </xf>
    <xf numFmtId="0" fontId="1" fillId="0" borderId="0" xfId="6" applyBorder="1" applyAlignment="1" applyProtection="1"/>
    <xf numFmtId="168" fontId="10" fillId="0" borderId="11" xfId="5" applyNumberFormat="1" applyFont="1" applyBorder="1" applyAlignment="1" applyProtection="1">
      <alignment horizontal="center" vertical="center"/>
    </xf>
    <xf numFmtId="166" fontId="10" fillId="0" borderId="9" xfId="5" applyNumberFormat="1" applyFont="1" applyBorder="1" applyAlignment="1" applyProtection="1">
      <alignment horizontal="center" vertical="center" wrapText="1"/>
    </xf>
    <xf numFmtId="166" fontId="10" fillId="0" borderId="11" xfId="5" applyNumberFormat="1" applyFont="1" applyBorder="1" applyAlignment="1" applyProtection="1">
      <alignment horizontal="center" vertical="center" wrapText="1"/>
    </xf>
    <xf numFmtId="164" fontId="15" fillId="0" borderId="11" xfId="6" applyNumberFormat="1" applyFont="1" applyBorder="1" applyAlignment="1" applyProtection="1">
      <alignment horizontal="center" vertical="center" wrapText="1"/>
    </xf>
    <xf numFmtId="165" fontId="10" fillId="0" borderId="9" xfId="5" applyNumberFormat="1" applyFont="1" applyBorder="1" applyAlignment="1" applyProtection="1">
      <alignment horizontal="center" vertical="center"/>
    </xf>
    <xf numFmtId="165" fontId="10" fillId="0" borderId="7" xfId="5" applyNumberFormat="1" applyFont="1" applyBorder="1" applyAlignment="1" applyProtection="1">
      <alignment horizontal="center" vertical="center"/>
    </xf>
    <xf numFmtId="3" fontId="10" fillId="0" borderId="27" xfId="5" applyNumberFormat="1" applyFont="1" applyBorder="1" applyAlignment="1" applyProtection="1">
      <alignment horizontal="center" vertical="center" wrapText="1"/>
    </xf>
    <xf numFmtId="168" fontId="4" fillId="0" borderId="11" xfId="5" applyNumberFormat="1" applyFont="1" applyBorder="1" applyAlignment="1" applyProtection="1">
      <alignment horizontal="center" vertical="center"/>
    </xf>
    <xf numFmtId="170" fontId="4" fillId="0" borderId="9" xfId="5" applyNumberFormat="1" applyFont="1" applyBorder="1" applyAlignment="1" applyProtection="1">
      <alignment horizontal="center" vertical="center"/>
    </xf>
    <xf numFmtId="164" fontId="4" fillId="0" borderId="7" xfId="5" applyNumberFormat="1" applyFont="1" applyBorder="1" applyAlignment="1" applyProtection="1">
      <alignment horizontal="center" vertical="center"/>
    </xf>
    <xf numFmtId="164" fontId="4" fillId="0" borderId="9" xfId="5" applyNumberFormat="1" applyFont="1" applyBorder="1" applyAlignment="1" applyProtection="1">
      <alignment horizontal="center" vertical="center"/>
    </xf>
    <xf numFmtId="164" fontId="4" fillId="0" borderId="27" xfId="5" applyNumberFormat="1" applyFont="1" applyBorder="1" applyAlignment="1" applyProtection="1">
      <alignment horizontal="center" vertical="center"/>
    </xf>
    <xf numFmtId="168" fontId="4" fillId="0" borderId="27" xfId="5" applyNumberFormat="1" applyFont="1" applyBorder="1" applyAlignment="1" applyProtection="1">
      <alignment horizontal="center" vertical="center"/>
    </xf>
    <xf numFmtId="165" fontId="4" fillId="0" borderId="7" xfId="5" applyNumberFormat="1" applyFont="1" applyBorder="1" applyAlignment="1" applyProtection="1">
      <alignment horizontal="center" vertical="center"/>
    </xf>
    <xf numFmtId="3" fontId="4" fillId="0" borderId="7" xfId="5" applyNumberFormat="1" applyFont="1" applyBorder="1" applyAlignment="1" applyProtection="1">
      <alignment horizontal="center" vertical="center" wrapText="1"/>
    </xf>
    <xf numFmtId="3" fontId="4" fillId="0" borderId="11" xfId="5" applyNumberFormat="1" applyFont="1" applyBorder="1" applyAlignment="1" applyProtection="1">
      <alignment horizontal="center" vertical="center" wrapText="1"/>
    </xf>
    <xf numFmtId="171" fontId="10" fillId="0" borderId="9" xfId="5" applyNumberFormat="1" applyFont="1" applyBorder="1" applyAlignment="1" applyProtection="1">
      <alignment horizontal="center" vertical="center"/>
    </xf>
    <xf numFmtId="0" fontId="10" fillId="0" borderId="26" xfId="5" applyFont="1" applyBorder="1" applyAlignment="1" applyProtection="1">
      <alignment horizontal="center" vertical="center" wrapText="1"/>
    </xf>
    <xf numFmtId="0" fontId="9" fillId="0" borderId="7" xfId="6" applyFont="1" applyBorder="1" applyAlignment="1" applyProtection="1">
      <alignment horizontal="center"/>
    </xf>
    <xf numFmtId="0" fontId="9" fillId="0" borderId="8" xfId="6" applyFont="1" applyBorder="1" applyAlignment="1" applyProtection="1">
      <alignment horizontal="center"/>
    </xf>
    <xf numFmtId="166" fontId="16" fillId="0" borderId="7" xfId="6" applyNumberFormat="1" applyFont="1" applyBorder="1" applyAlignment="1" applyProtection="1"/>
    <xf numFmtId="166" fontId="16" fillId="0" borderId="9" xfId="6" applyNumberFormat="1" applyFont="1" applyBorder="1" applyAlignment="1" applyProtection="1"/>
    <xf numFmtId="166" fontId="16" fillId="0" borderId="11" xfId="6" applyNumberFormat="1" applyFont="1" applyBorder="1" applyAlignment="1" applyProtection="1"/>
    <xf numFmtId="0" fontId="0" fillId="0" borderId="7" xfId="5" applyFont="1" applyBorder="1" applyAlignment="1" applyProtection="1"/>
    <xf numFmtId="164" fontId="1" fillId="0" borderId="7" xfId="6" applyNumberFormat="1" applyFont="1" applyBorder="1" applyAlignment="1" applyProtection="1"/>
    <xf numFmtId="164" fontId="1" fillId="0" borderId="11" xfId="6" applyNumberFormat="1" applyFont="1" applyBorder="1" applyAlignment="1" applyProtection="1"/>
    <xf numFmtId="164" fontId="1" fillId="0" borderId="8" xfId="6" applyNumberFormat="1" applyFont="1" applyBorder="1" applyAlignment="1" applyProtection="1"/>
    <xf numFmtId="1" fontId="1" fillId="0" borderId="0" xfId="6" applyNumberFormat="1" applyFont="1" applyBorder="1" applyAlignment="1" applyProtection="1"/>
    <xf numFmtId="165" fontId="10" fillId="0" borderId="7" xfId="5" applyNumberFormat="1" applyFont="1" applyBorder="1" applyAlignment="1" applyProtection="1">
      <alignment horizontal="center" vertical="center" wrapText="1"/>
    </xf>
    <xf numFmtId="164" fontId="10" fillId="0" borderId="7" xfId="8" applyNumberFormat="1" applyFont="1" applyBorder="1" applyAlignment="1" applyProtection="1">
      <alignment horizontal="center" vertical="center" wrapText="1"/>
    </xf>
    <xf numFmtId="164" fontId="10" fillId="0" borderId="11" xfId="8" applyNumberFormat="1" applyFont="1" applyBorder="1" applyAlignment="1" applyProtection="1">
      <alignment horizontal="center" vertical="center" wrapText="1"/>
    </xf>
    <xf numFmtId="164" fontId="10" fillId="0" borderId="0" xfId="5" applyNumberFormat="1" applyFont="1" applyBorder="1" applyAlignment="1" applyProtection="1">
      <alignment horizontal="center" vertical="center" wrapText="1"/>
    </xf>
    <xf numFmtId="166" fontId="1" fillId="0" borderId="28" xfId="6" applyNumberFormat="1" applyFont="1" applyBorder="1" applyAlignment="1" applyProtection="1"/>
    <xf numFmtId="0" fontId="1" fillId="0" borderId="0" xfId="6" applyAlignment="1" applyProtection="1"/>
    <xf numFmtId="0" fontId="5" fillId="0" borderId="11" xfId="8" applyFont="1" applyBorder="1" applyAlignment="1" applyProtection="1">
      <alignment horizontal="left" vertical="center" wrapText="1"/>
    </xf>
    <xf numFmtId="171" fontId="4" fillId="0" borderId="7" xfId="5" applyNumberFormat="1" applyFont="1" applyFill="1" applyBorder="1" applyAlignment="1" applyProtection="1">
      <alignment horizontal="center" vertical="center" wrapText="1"/>
    </xf>
    <xf numFmtId="164" fontId="4" fillId="0" borderId="7" xfId="8" applyNumberFormat="1" applyFont="1" applyFill="1" applyBorder="1" applyAlignment="1" applyProtection="1">
      <alignment horizontal="center" vertical="center" wrapText="1"/>
    </xf>
    <xf numFmtId="164" fontId="4" fillId="0" borderId="7" xfId="8" applyNumberFormat="1" applyFont="1" applyBorder="1" applyAlignment="1" applyProtection="1">
      <alignment horizontal="center" vertical="center" wrapText="1"/>
    </xf>
    <xf numFmtId="164" fontId="4" fillId="0" borderId="11" xfId="8" applyNumberFormat="1" applyFont="1" applyBorder="1" applyAlignment="1" applyProtection="1">
      <alignment horizontal="center" vertical="center" wrapText="1"/>
    </xf>
    <xf numFmtId="166" fontId="10" fillId="0" borderId="28" xfId="5" applyNumberFormat="1" applyFont="1" applyBorder="1" applyAlignment="1" applyProtection="1">
      <alignment horizontal="center" vertical="center" wrapText="1"/>
    </xf>
    <xf numFmtId="0" fontId="4" fillId="0" borderId="11" xfId="5" applyFont="1" applyFill="1" applyBorder="1" applyAlignment="1" applyProtection="1">
      <alignment vertical="center" wrapText="1"/>
    </xf>
    <xf numFmtId="171" fontId="4" fillId="0" borderId="7" xfId="5" applyNumberFormat="1" applyFont="1" applyBorder="1" applyAlignment="1" applyProtection="1">
      <alignment horizontal="center" vertical="center" wrapText="1"/>
    </xf>
    <xf numFmtId="171" fontId="1" fillId="0" borderId="0" xfId="6" applyNumberFormat="1" applyFont="1" applyBorder="1" applyAlignment="1" applyProtection="1"/>
    <xf numFmtId="164" fontId="10" fillId="0" borderId="28" xfId="5" applyNumberFormat="1" applyFont="1" applyBorder="1" applyAlignment="1" applyProtection="1">
      <alignment horizontal="center" vertical="center" wrapText="1"/>
    </xf>
    <xf numFmtId="0" fontId="1" fillId="0" borderId="29" xfId="6" applyFont="1" applyBorder="1" applyAlignment="1" applyProtection="1"/>
    <xf numFmtId="166" fontId="4" fillId="0" borderId="11" xfId="5" applyNumberFormat="1" applyFont="1" applyBorder="1" applyAlignment="1" applyProtection="1">
      <alignment horizontal="center" vertical="center" wrapText="1"/>
    </xf>
    <xf numFmtId="3" fontId="4" fillId="0" borderId="7" xfId="8" applyNumberFormat="1" applyFont="1" applyBorder="1" applyAlignment="1" applyProtection="1">
      <alignment horizontal="center" vertical="center" wrapText="1"/>
    </xf>
    <xf numFmtId="3" fontId="4" fillId="0" borderId="11" xfId="8" applyNumberFormat="1" applyFont="1" applyBorder="1" applyAlignment="1" applyProtection="1">
      <alignment horizontal="center" vertical="center" wrapText="1"/>
    </xf>
    <xf numFmtId="166" fontId="4" fillId="0" borderId="7" xfId="8" applyNumberFormat="1" applyFont="1" applyBorder="1" applyAlignment="1" applyProtection="1">
      <alignment horizontal="center" vertical="center" wrapText="1"/>
    </xf>
    <xf numFmtId="166" fontId="10" fillId="0" borderId="7" xfId="5" applyNumberFormat="1" applyFont="1" applyFill="1" applyBorder="1" applyAlignment="1" applyProtection="1">
      <alignment horizontal="center" vertical="center" wrapText="1"/>
    </xf>
    <xf numFmtId="165" fontId="1" fillId="0" borderId="0" xfId="6" applyNumberFormat="1" applyFont="1" applyAlignment="1" applyProtection="1"/>
    <xf numFmtId="0" fontId="4" fillId="0" borderId="22" xfId="5" applyFont="1" applyBorder="1" applyAlignment="1" applyProtection="1">
      <alignment vertical="center" wrapText="1"/>
    </xf>
    <xf numFmtId="3" fontId="10" fillId="0" borderId="8" xfId="5" applyNumberFormat="1" applyFont="1" applyBorder="1" applyAlignment="1" applyProtection="1">
      <alignment horizontal="center" vertical="center" wrapText="1"/>
    </xf>
    <xf numFmtId="0" fontId="4" fillId="0" borderId="33" xfId="5" applyFont="1" applyBorder="1" applyAlignment="1" applyProtection="1">
      <alignment horizontal="center" vertical="center" wrapText="1"/>
    </xf>
    <xf numFmtId="0" fontId="4" fillId="0" borderId="7" xfId="5" applyFont="1" applyBorder="1" applyAlignment="1" applyProtection="1">
      <alignment vertical="center" wrapText="1"/>
    </xf>
    <xf numFmtId="164" fontId="10" fillId="0" borderId="10" xfId="5" applyNumberFormat="1" applyFont="1" applyBorder="1" applyAlignment="1" applyProtection="1">
      <alignment horizontal="center" vertical="center" wrapText="1"/>
    </xf>
    <xf numFmtId="164" fontId="4" fillId="0" borderId="10" xfId="5" applyNumberFormat="1" applyFont="1" applyBorder="1" applyAlignment="1" applyProtection="1">
      <alignment horizontal="center" vertical="center" wrapText="1"/>
    </xf>
    <xf numFmtId="164" fontId="4" fillId="0" borderId="13" xfId="5" applyNumberFormat="1" applyFont="1" applyBorder="1" applyAlignment="1" applyProtection="1">
      <alignment horizontal="center" vertical="center" wrapText="1"/>
    </xf>
    <xf numFmtId="0" fontId="4" fillId="0" borderId="7" xfId="6" applyFont="1" applyFill="1" applyBorder="1" applyAlignment="1" applyProtection="1">
      <alignment horizontal="center" vertical="center" wrapText="1"/>
    </xf>
    <xf numFmtId="164" fontId="4" fillId="0" borderId="14" xfId="5" applyNumberFormat="1" applyFont="1" applyBorder="1" applyAlignment="1" applyProtection="1">
      <alignment horizontal="center" vertical="center" wrapText="1"/>
    </xf>
    <xf numFmtId="0" fontId="4" fillId="0" borderId="7" xfId="8" applyFont="1" applyBorder="1" applyAlignment="1" applyProtection="1">
      <alignment horizontal="left" vertical="center" wrapText="1"/>
    </xf>
    <xf numFmtId="164" fontId="10" fillId="0" borderId="13" xfId="5" applyNumberFormat="1" applyFont="1" applyBorder="1" applyAlignment="1" applyProtection="1">
      <alignment horizontal="center" vertical="center" wrapText="1"/>
    </xf>
    <xf numFmtId="0" fontId="4" fillId="0" borderId="30" xfId="5" applyFont="1" applyBorder="1" applyAlignment="1" applyProtection="1">
      <alignment horizontal="center" vertical="center" wrapText="1"/>
    </xf>
    <xf numFmtId="0" fontId="4" fillId="0" borderId="31" xfId="8" applyFont="1" applyBorder="1" applyAlignment="1" applyProtection="1">
      <alignment horizontal="left" vertical="center" wrapText="1"/>
    </xf>
    <xf numFmtId="166" fontId="4" fillId="0" borderId="31" xfId="5" applyNumberFormat="1" applyFont="1" applyBorder="1" applyAlignment="1" applyProtection="1">
      <alignment horizontal="center" vertical="center" wrapText="1"/>
    </xf>
    <xf numFmtId="164" fontId="4" fillId="0" borderId="31" xfId="5" applyNumberFormat="1" applyFont="1" applyBorder="1" applyAlignment="1" applyProtection="1">
      <alignment horizontal="center" vertical="center" wrapText="1"/>
    </xf>
    <xf numFmtId="164" fontId="10" fillId="0" borderId="31" xfId="5" applyNumberFormat="1" applyFont="1" applyBorder="1" applyAlignment="1" applyProtection="1">
      <alignment horizontal="center" vertical="center" wrapText="1"/>
    </xf>
    <xf numFmtId="164" fontId="4" fillId="0" borderId="37" xfId="5" applyNumberFormat="1" applyFont="1" applyBorder="1" applyAlignment="1" applyProtection="1">
      <alignment horizontal="center" vertical="center" wrapText="1"/>
    </xf>
    <xf numFmtId="0" fontId="4" fillId="0" borderId="31" xfId="6" applyFont="1" applyBorder="1" applyAlignment="1" applyProtection="1">
      <alignment vertical="center" wrapText="1"/>
    </xf>
    <xf numFmtId="0" fontId="4" fillId="0" borderId="0" xfId="6" applyFont="1" applyAlignment="1" applyProtection="1">
      <alignment horizontal="center" vertical="center" wrapText="1"/>
    </xf>
    <xf numFmtId="0" fontId="4" fillId="0" borderId="0" xfId="6" applyFont="1" applyAlignment="1" applyProtection="1">
      <alignment vertical="center" wrapText="1"/>
    </xf>
    <xf numFmtId="172" fontId="1" fillId="0" borderId="0" xfId="6" applyNumberFormat="1" applyFont="1" applyAlignment="1" applyProtection="1"/>
    <xf numFmtId="0" fontId="4" fillId="0" borderId="0" xfId="6" applyFont="1" applyAlignment="1" applyProtection="1"/>
    <xf numFmtId="164" fontId="4" fillId="0" borderId="32" xfId="6" applyNumberFormat="1" applyFont="1" applyBorder="1" applyAlignment="1" applyProtection="1">
      <alignment vertical="center" wrapText="1"/>
    </xf>
    <xf numFmtId="164" fontId="12" fillId="0" borderId="8" xfId="6" applyNumberFormat="1" applyFont="1" applyBorder="1" applyAlignment="1" applyProtection="1">
      <alignment horizontal="center" vertical="center"/>
    </xf>
    <xf numFmtId="164" fontId="4" fillId="0" borderId="28" xfId="5" applyNumberFormat="1" applyFont="1" applyBorder="1" applyAlignment="1" applyProtection="1">
      <alignment horizontal="center" vertical="center"/>
    </xf>
    <xf numFmtId="168" fontId="4" fillId="0" borderId="0" xfId="5" applyNumberFormat="1" applyFont="1" applyBorder="1" applyAlignment="1" applyProtection="1">
      <alignment horizontal="center" vertical="center"/>
    </xf>
    <xf numFmtId="164" fontId="4" fillId="0" borderId="8" xfId="8" applyNumberFormat="1" applyFont="1" applyFill="1" applyBorder="1" applyAlignment="1" applyProtection="1">
      <alignment horizontal="center" vertical="center" wrapText="1"/>
    </xf>
    <xf numFmtId="171" fontId="1" fillId="0" borderId="0" xfId="6" applyNumberFormat="1" applyFont="1" applyAlignment="1" applyProtection="1"/>
    <xf numFmtId="0" fontId="4" fillId="0" borderId="7" xfId="8" applyFont="1" applyFill="1" applyBorder="1" applyAlignment="1" applyProtection="1">
      <alignment horizontal="left" vertical="center" wrapText="1"/>
    </xf>
    <xf numFmtId="171" fontId="4" fillId="0" borderId="7" xfId="5" applyNumberFormat="1" applyFont="1" applyBorder="1" applyAlignment="1" applyProtection="1">
      <alignment horizontal="center" vertical="center"/>
    </xf>
    <xf numFmtId="0" fontId="5" fillId="0" borderId="0" xfId="6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173" fontId="1" fillId="0" borderId="0" xfId="6" applyNumberFormat="1" applyFont="1" applyBorder="1" applyAlignment="1" applyProtection="1"/>
    <xf numFmtId="165" fontId="4" fillId="0" borderId="7" xfId="5" applyNumberFormat="1" applyFont="1" applyFill="1" applyBorder="1" applyAlignment="1" applyProtection="1">
      <alignment horizontal="center" vertical="center" wrapText="1"/>
    </xf>
    <xf numFmtId="0" fontId="4" fillId="0" borderId="29" xfId="6" applyFont="1" applyBorder="1" applyAlignment="1" applyProtection="1">
      <alignment horizontal="center" vertical="center" wrapText="1"/>
    </xf>
    <xf numFmtId="0" fontId="4" fillId="0" borderId="20" xfId="5" applyFont="1" applyBorder="1" applyAlignment="1" applyProtection="1">
      <alignment horizontal="center" vertical="center" wrapText="1"/>
    </xf>
    <xf numFmtId="0" fontId="4" fillId="0" borderId="20" xfId="6" applyFont="1" applyBorder="1" applyAlignment="1" applyProtection="1">
      <alignment horizontal="center" vertical="center" wrapText="1"/>
    </xf>
    <xf numFmtId="0" fontId="5" fillId="0" borderId="0" xfId="6" applyFont="1" applyBorder="1" applyAlignment="1" applyProtection="1">
      <alignment horizontal="center" vertical="center" wrapText="1"/>
    </xf>
    <xf numFmtId="0" fontId="6" fillId="0" borderId="0" xfId="5" applyFont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38" xfId="5" applyFont="1" applyBorder="1" applyAlignment="1" applyProtection="1">
      <alignment horizontal="center" vertical="center" wrapText="1"/>
    </xf>
    <xf numFmtId="0" fontId="7" fillId="0" borderId="3" xfId="5" applyFont="1" applyBorder="1" applyAlignment="1" applyProtection="1">
      <alignment horizontal="center" vertical="center" wrapText="1"/>
    </xf>
    <xf numFmtId="0" fontId="7" fillId="0" borderId="17" xfId="5" applyFont="1" applyBorder="1" applyAlignment="1" applyProtection="1">
      <alignment horizontal="center" vertical="center" wrapText="1"/>
    </xf>
    <xf numFmtId="0" fontId="7" fillId="0" borderId="4" xfId="5" applyFont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 wrapText="1"/>
    </xf>
    <xf numFmtId="0" fontId="7" fillId="0" borderId="9" xfId="5" applyFont="1" applyBorder="1" applyAlignment="1" applyProtection="1">
      <alignment horizontal="center" vertical="center" wrapText="1"/>
    </xf>
    <xf numFmtId="0" fontId="7" fillId="0" borderId="10" xfId="5" applyFont="1" applyBorder="1" applyAlignment="1" applyProtection="1">
      <alignment horizontal="center" vertical="center" wrapText="1"/>
    </xf>
    <xf numFmtId="0" fontId="7" fillId="0" borderId="8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5" fillId="0" borderId="19" xfId="5" applyFont="1" applyBorder="1" applyAlignment="1" applyProtection="1">
      <alignment horizontal="center" vertical="center" wrapText="1"/>
    </xf>
    <xf numFmtId="0" fontId="5" fillId="0" borderId="8" xfId="6" applyFont="1" applyBorder="1" applyAlignment="1" applyProtection="1">
      <alignment horizontal="left" vertical="center" wrapText="1"/>
    </xf>
    <xf numFmtId="0" fontId="5" fillId="0" borderId="0" xfId="6" applyFont="1" applyBorder="1" applyAlignment="1" applyProtection="1">
      <alignment horizontal="left" vertical="center" wrapText="1"/>
    </xf>
    <xf numFmtId="0" fontId="14" fillId="0" borderId="0" xfId="6" applyFont="1" applyAlignment="1" applyProtection="1">
      <alignment horizontal="left" vertical="center"/>
    </xf>
    <xf numFmtId="0" fontId="5" fillId="0" borderId="0" xfId="6" applyFont="1" applyAlignment="1" applyProtection="1">
      <alignment horizontal="right" vertical="center"/>
    </xf>
  </cellXfs>
  <cellStyles count="9">
    <cellStyle name="Обычный" xfId="0" builtinId="0"/>
    <cellStyle name="Обычный 15" xfId="1"/>
    <cellStyle name="Обычный 2" xfId="2"/>
    <cellStyle name="Обычный 3" xfId="6"/>
    <cellStyle name="Обычный_219-пп_Приложение 2 2" xfId="7"/>
    <cellStyle name="Обычный_ВЫПОЛНЕНИЕ программы ИЖС-2010 год 2" xfId="8"/>
    <cellStyle name="Стиль 1" xfId="3"/>
    <cellStyle name="Стиль 1 2" xfId="4"/>
    <cellStyle name="Стиль 1 3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B08B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72;&#1087;&#1082;&#1072;%20&#1087;&#1083;&#1072;&#1085;&#1086;&#1074;&#1086;&#1075;&#1086;%20&#1086;&#1090;&#1076;&#1077;&#1083;&#1072;/&#1053;&#1054;&#1042;&#1040;&#1071;%20&#1043;&#1055;%20&#1074;&#1085;&#1077;&#1089;&#1077;&#1085;&#1080;&#1077;%20&#1080;&#1079;&#1084;&#1077;&#1085;&#1077;&#1085;&#1080;&#1081;%202025%20&#1075;&#1086;&#1076;/&#1053;&#1054;&#1042;&#1040;&#1071;%20&#1043;&#1055;%20&#1080;&#1079;&#1084;&#1077;&#1085;&#1077;&#1085;&#1080;&#1103;%20&#1074;%20&#8470;%20730-&#1087;&#1087;%20(&#1088;&#1077;&#1076;&#1072;&#1082;&#1094;&#1080;&#1103;%20&#8470;%20481-&#1087;&#1087;%20&#1086;&#1090;%2020.10.25)%20&#1087;&#1086;&#1087;&#1088;&#1072;&#1074;&#1082;&#1080;%20&#1053;&#1054;&#1071;&#1041;&#1056;&#1068;%20&#1084;&#1086;&#1080;/15).%20&#1055;&#1088;&#1080;&#1083;.%209%20%20&#1056;&#1077;&#1084;.%20&#1084;&#1077;&#1089;&#1090;&#1085;.%20&#1072;&#1076;%20(&#1089;&#1090;&#1088;.95-10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9.06.25 уточ Валуйки и Прохор"/>
      <sheetName val="19.09.25 Красногв, Белг, Прох"/>
      <sheetName val="23.09.25 Белгородский"/>
      <sheetName val="25.09.25 (для поправок 25-27)"/>
      <sheetName val="03.10.25 (бюджет 26-28) ТБО Губ"/>
    </sheetNames>
    <sheetDataSet>
      <sheetData sheetId="0">
        <row r="29">
          <cell r="P29">
            <v>272080.49999999994</v>
          </cell>
        </row>
        <row r="153">
          <cell r="H153">
            <v>19.798999999999999</v>
          </cell>
        </row>
      </sheetData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R250"/>
  <sheetViews>
    <sheetView tabSelected="1" view="pageBreakPreview" topLeftCell="A4" zoomScale="75" zoomScaleNormal="75" zoomScaleSheetLayoutView="75" zoomScalePageLayoutView="75" workbookViewId="0">
      <pane ySplit="5" topLeftCell="A234" activePane="bottomLeft" state="frozen"/>
      <selection activeCell="A4" sqref="A4"/>
      <selection pane="bottomLeft" activeCell="C254" sqref="C254"/>
    </sheetView>
  </sheetViews>
  <sheetFormatPr defaultColWidth="9.140625" defaultRowHeight="18.75"/>
  <cols>
    <col min="1" max="1" width="6.5703125" style="207" customWidth="1"/>
    <col min="2" max="2" width="59.28515625" style="208" customWidth="1"/>
    <col min="3" max="4" width="12" style="208" customWidth="1"/>
    <col min="5" max="5" width="17" style="208" customWidth="1"/>
    <col min="6" max="6" width="18.5703125" style="208" customWidth="1"/>
    <col min="7" max="7" width="15.7109375" style="208" customWidth="1"/>
    <col min="8" max="8" width="12.28515625" style="208" customWidth="1"/>
    <col min="9" max="9" width="11.5703125" style="208" customWidth="1"/>
    <col min="10" max="10" width="18.5703125" style="208" customWidth="1"/>
    <col min="11" max="11" width="19.5703125" style="208" customWidth="1"/>
    <col min="12" max="12" width="17.140625" style="208" bestFit="1" customWidth="1"/>
    <col min="13" max="14" width="10.28515625" style="208" customWidth="1"/>
    <col min="15" max="16" width="17.140625" style="208" customWidth="1"/>
    <col min="17" max="17" width="14.7109375" style="208" customWidth="1"/>
    <col min="18" max="18" width="9" style="208" hidden="1" customWidth="1"/>
    <col min="19" max="19" width="9.7109375" style="208" hidden="1" customWidth="1"/>
    <col min="20" max="21" width="15.5703125" style="208" hidden="1" customWidth="1"/>
    <col min="22" max="22" width="12.7109375" style="208" hidden="1" customWidth="1"/>
    <col min="23" max="23" width="16.5703125" style="208" customWidth="1"/>
    <col min="24" max="24" width="14.42578125" style="208" customWidth="1"/>
    <col min="25" max="25" width="9.140625" style="208"/>
    <col min="26" max="26" width="17" style="208" customWidth="1"/>
    <col min="27" max="38" width="9.140625" style="208"/>
    <col min="39" max="42" width="9.140625" style="210"/>
    <col min="43" max="16384" width="9.140625" style="5"/>
  </cols>
  <sheetData>
    <row r="1" spans="1:44" ht="83.25" customHeight="1">
      <c r="A1" s="1"/>
      <c r="B1" s="2"/>
      <c r="C1" s="219"/>
      <c r="D1" s="219"/>
      <c r="E1" s="219"/>
      <c r="F1" s="219"/>
      <c r="G1" s="219"/>
      <c r="H1" s="3"/>
      <c r="I1" s="4"/>
      <c r="J1" s="4"/>
      <c r="K1" s="226" t="s">
        <v>102</v>
      </c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4" ht="22.5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4" ht="42" customHeight="1">
      <c r="A3" s="228" t="s">
        <v>155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4" ht="21" customHeight="1" thickBot="1">
      <c r="A4" s="1"/>
      <c r="B4" s="2"/>
      <c r="C4" s="6"/>
      <c r="D4" s="6"/>
      <c r="E4" s="6"/>
      <c r="F4" s="6"/>
      <c r="G4" s="6"/>
      <c r="H4" s="6"/>
      <c r="I4" s="6"/>
      <c r="J4" s="6"/>
      <c r="K4" s="6"/>
      <c r="L4" s="7"/>
      <c r="M4" s="7"/>
      <c r="N4" s="7"/>
      <c r="O4" s="7"/>
      <c r="P4" s="7"/>
      <c r="Q4" s="7"/>
      <c r="R4" s="8"/>
      <c r="S4" s="8"/>
      <c r="T4" s="8"/>
      <c r="U4" s="8"/>
      <c r="V4" s="8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4" s="9" customFormat="1" ht="27.75" customHeight="1" thickBot="1">
      <c r="A5" s="229" t="s">
        <v>153</v>
      </c>
      <c r="B5" s="231" t="s">
        <v>188</v>
      </c>
      <c r="C5" s="233" t="s">
        <v>0</v>
      </c>
      <c r="D5" s="233"/>
      <c r="E5" s="233"/>
      <c r="F5" s="233"/>
      <c r="G5" s="233"/>
      <c r="H5" s="233" t="s">
        <v>1</v>
      </c>
      <c r="I5" s="233"/>
      <c r="J5" s="233"/>
      <c r="K5" s="233"/>
      <c r="L5" s="233"/>
      <c r="M5" s="234" t="s">
        <v>2</v>
      </c>
      <c r="N5" s="234"/>
      <c r="O5" s="234"/>
      <c r="P5" s="234"/>
      <c r="Q5" s="234"/>
      <c r="R5" s="235" t="s">
        <v>2</v>
      </c>
      <c r="S5" s="235"/>
      <c r="T5" s="235"/>
      <c r="U5" s="235"/>
      <c r="V5" s="235"/>
      <c r="W5" s="5"/>
      <c r="X5" s="5"/>
      <c r="Y5" s="5"/>
      <c r="Z5" s="5"/>
      <c r="AA5" s="5"/>
      <c r="AB5" s="5" t="s">
        <v>3</v>
      </c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</row>
    <row r="6" spans="1:44" s="10" customFormat="1" ht="29.25" customHeight="1" thickBot="1">
      <c r="A6" s="229"/>
      <c r="B6" s="231"/>
      <c r="C6" s="239" t="s">
        <v>4</v>
      </c>
      <c r="D6" s="239"/>
      <c r="E6" s="239" t="s">
        <v>76</v>
      </c>
      <c r="F6" s="239" t="s">
        <v>5</v>
      </c>
      <c r="G6" s="239"/>
      <c r="H6" s="239" t="s">
        <v>4</v>
      </c>
      <c r="I6" s="239"/>
      <c r="J6" s="239" t="s">
        <v>78</v>
      </c>
      <c r="K6" s="239" t="s">
        <v>5</v>
      </c>
      <c r="L6" s="239"/>
      <c r="M6" s="239" t="s">
        <v>4</v>
      </c>
      <c r="N6" s="239"/>
      <c r="O6" s="239" t="s">
        <v>80</v>
      </c>
      <c r="P6" s="238" t="s">
        <v>5</v>
      </c>
      <c r="Q6" s="238"/>
      <c r="R6" s="236" t="s">
        <v>4</v>
      </c>
      <c r="S6" s="236"/>
      <c r="T6" s="237" t="s">
        <v>6</v>
      </c>
      <c r="U6" s="238" t="s">
        <v>5</v>
      </c>
      <c r="V6" s="238"/>
      <c r="W6" s="7"/>
      <c r="X6" s="7"/>
      <c r="Y6" s="7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</row>
    <row r="7" spans="1:44" s="10" customFormat="1" ht="70.5" customHeight="1" thickBot="1">
      <c r="A7" s="230"/>
      <c r="B7" s="232"/>
      <c r="C7" s="220" t="s">
        <v>7</v>
      </c>
      <c r="D7" s="220" t="s">
        <v>8</v>
      </c>
      <c r="E7" s="237"/>
      <c r="F7" s="220" t="s">
        <v>77</v>
      </c>
      <c r="G7" s="220" t="s">
        <v>9</v>
      </c>
      <c r="H7" s="220" t="s">
        <v>7</v>
      </c>
      <c r="I7" s="220" t="s">
        <v>8</v>
      </c>
      <c r="J7" s="237"/>
      <c r="K7" s="220" t="s">
        <v>79</v>
      </c>
      <c r="L7" s="220" t="s">
        <v>9</v>
      </c>
      <c r="M7" s="220" t="s">
        <v>7</v>
      </c>
      <c r="N7" s="220" t="s">
        <v>8</v>
      </c>
      <c r="O7" s="237"/>
      <c r="P7" s="11" t="s">
        <v>81</v>
      </c>
      <c r="Q7" s="12" t="s">
        <v>9</v>
      </c>
      <c r="R7" s="13" t="s">
        <v>7</v>
      </c>
      <c r="S7" s="13" t="s">
        <v>8</v>
      </c>
      <c r="T7" s="237"/>
      <c r="U7" s="11" t="s">
        <v>10</v>
      </c>
      <c r="V7" s="12" t="s">
        <v>9</v>
      </c>
      <c r="W7" s="7"/>
      <c r="X7" s="7"/>
      <c r="Y7" s="7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</row>
    <row r="8" spans="1:44" s="22" customFormat="1" ht="27.75" customHeight="1" thickBot="1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6">
        <v>16</v>
      </c>
      <c r="Q8" s="17">
        <v>17</v>
      </c>
      <c r="R8" s="18">
        <v>22</v>
      </c>
      <c r="S8" s="18">
        <v>23</v>
      </c>
      <c r="T8" s="19">
        <v>24</v>
      </c>
      <c r="U8" s="20">
        <v>25</v>
      </c>
      <c r="V8" s="21">
        <v>26</v>
      </c>
      <c r="W8" s="7"/>
      <c r="X8" s="7"/>
      <c r="Y8" s="7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</row>
    <row r="9" spans="1:44" s="23" customFormat="1" ht="40.5" customHeight="1">
      <c r="A9" s="240" t="s">
        <v>11</v>
      </c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1"/>
      <c r="S9" s="1"/>
      <c r="T9" s="1"/>
      <c r="U9" s="1"/>
      <c r="V9" s="1"/>
      <c r="W9" s="7"/>
      <c r="X9" s="7"/>
      <c r="Y9" s="7"/>
      <c r="Z9" s="7" t="s">
        <v>12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</row>
    <row r="10" spans="1:44" s="23" customFormat="1" ht="35.25" customHeight="1">
      <c r="A10" s="24"/>
      <c r="B10" s="241" t="s">
        <v>13</v>
      </c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1"/>
      <c r="S10" s="1"/>
      <c r="T10" s="1"/>
      <c r="U10" s="1"/>
      <c r="V10" s="1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</row>
    <row r="11" spans="1:44" s="30" customFormat="1" ht="32.25" customHeight="1">
      <c r="A11" s="25"/>
      <c r="B11" s="26" t="s">
        <v>14</v>
      </c>
      <c r="C11" s="27">
        <f>C15+C24+C81+C87+C95+C99+C112+C120+C126+C132+C159+C167+C170+C185+C198+C220+C229</f>
        <v>99.292000000000016</v>
      </c>
      <c r="D11" s="27">
        <f>D15+D24+D81+D87+D95+D99+D112+D120+D126+D132+D159+D167+D170+D185+D198+D220+D229</f>
        <v>373</v>
      </c>
      <c r="E11" s="27">
        <f>E15+E24+E81+E87+E95+E99+E112+E120+E126+E132+E159+E167+E170+E185+E198+E220+E229+0.05</f>
        <v>1941557.33595</v>
      </c>
      <c r="F11" s="27">
        <f>F15+F24+F81+F87+F95+F99+F112+F120+F126+F132+F159+F167+F170+F185+F198+F220+F229</f>
        <v>1823321.8650079998</v>
      </c>
      <c r="G11" s="27">
        <f>G15+G24+G81+G87+G95+G99+G112+G120+G126+G132+G159+G167+G170+G185+G198+G220+G229</f>
        <v>118235.42094200001</v>
      </c>
      <c r="H11" s="27">
        <f>H15+H24+H81+H87+H95+H99+H109+H112+H120+H126+H132+H159+H167+H170+H185+H198+H203+H218+H220+H229</f>
        <v>98.326300000000018</v>
      </c>
      <c r="I11" s="27">
        <f>I15+I24+I81+I87+I95+I99+I112+I120+I126+I132+I159+I167+I170+I185+I198+I220+I229</f>
        <v>12</v>
      </c>
      <c r="J11" s="27">
        <f>J15+J24+J81+J87+J95+J99+J109+J112+J120+J126+J132+J159+J167+J170+J185+J198+J203+J218+J220+J229</f>
        <v>3079566.3884200007</v>
      </c>
      <c r="K11" s="27">
        <f>K15+K24+K81+K87+K95+K99+K109+K112+K120+K126+K132+K159+K167+K170+K185+K198+K203+K218+K220+K229</f>
        <v>2894103.0046516</v>
      </c>
      <c r="L11" s="27">
        <f>L15+L24+L81+L87+L95+L99+L109+L112+L120+L126+L132+L159+L167+L170+L185+L198+L203+L218+L220+L229</f>
        <v>185463.38800840001</v>
      </c>
      <c r="M11" s="27">
        <f>M15+M24+M81+M87+M95+M99+M112+M120+M126+M132+M159+M167+M170+M185+M198+M203+M218+M220+M229</f>
        <v>0.83900000000000008</v>
      </c>
      <c r="N11" s="27">
        <f>N15+N24+N81+N87+N95+N99+N112+N120+N126+N132+N159+N167+N170+N185+N198+N220+N229</f>
        <v>260</v>
      </c>
      <c r="O11" s="27">
        <f>O15+O24+O81+O87+O95+O99+O112+O120+O126+O132+O159+O167+O170+O185+O198+O203+O218+O220+O229</f>
        <v>481777.4</v>
      </c>
      <c r="P11" s="27">
        <f>P15+P24+P81+P87+P95+P99+P112+P120+P126+P132+P159+P167+P170+P185+P198+P203+P218+P220+P229</f>
        <v>453005.28600000002</v>
      </c>
      <c r="Q11" s="28">
        <f>Q15+Q24+Q81+Q87+Q95+Q99+Q112+Q120+Q126+Q132+Q159+Q167+Q170+Q185+Q198+Q203+Q218+Q220+Q229</f>
        <v>28772.114000000001</v>
      </c>
      <c r="R11" s="29" t="e">
        <f>R15+R24+R81+R87+R93+R95+R99+R109+R112+R120+R126+R132+R159+R167+R170+R185+R196+R198+#REF!+#REF!+R220+R229</f>
        <v>#REF!</v>
      </c>
      <c r="S11" s="29" t="e">
        <f>S15+S24+S81+S87+S93+S95+S99+S109+S112+S120+S126+S132+S159+S167+S170+S185+S196+S198+#REF!+#REF!+S220+S229</f>
        <v>#REF!</v>
      </c>
      <c r="T11" s="29" t="e">
        <f>T15+T24+T81+T87+T93+T95+T99+T109+T112+T120+T126+T132+T159+T167+T170+T185+T196+T198+#REF!+#REF!+T220+T229</f>
        <v>#REF!</v>
      </c>
      <c r="U11" s="29" t="e">
        <f>U15+U24+U81+U87+U93+U95+U99+U109+U112+U120+U126+U132+U159+U167+U170+U185+U196+U198+#REF!+#REF!+U220+U229</f>
        <v>#REF!</v>
      </c>
      <c r="V11" s="29" t="e">
        <f>V15+V24+V81+V87+V93+V95+V99+V109+V112+V120+V126+V132+V159+V167+V170+V185+V196+V198+#REF!+#REF!+V220+V229</f>
        <v>#REF!</v>
      </c>
      <c r="W11" s="29">
        <f>C11+H11</f>
        <v>197.61830000000003</v>
      </c>
      <c r="X11" s="29"/>
      <c r="Y11" s="29">
        <f>C11-C12</f>
        <v>99.292000000000016</v>
      </c>
      <c r="Z11" s="29">
        <f>H11-H12</f>
        <v>98.326300000000018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</row>
    <row r="12" spans="1:44" ht="26.25" customHeight="1">
      <c r="A12" s="31"/>
      <c r="B12" s="32" t="s">
        <v>15</v>
      </c>
      <c r="C12" s="33"/>
      <c r="D12" s="33"/>
      <c r="E12" s="33"/>
      <c r="F12" s="33"/>
      <c r="G12" s="33"/>
      <c r="H12" s="33"/>
      <c r="I12" s="33"/>
      <c r="J12" s="33"/>
      <c r="K12" s="33"/>
      <c r="L12" s="34"/>
      <c r="M12" s="35"/>
      <c r="N12" s="35"/>
      <c r="O12" s="35"/>
      <c r="P12" s="35"/>
      <c r="Q12" s="36"/>
      <c r="R12" s="37"/>
      <c r="S12" s="37"/>
      <c r="T12" s="38"/>
      <c r="U12" s="39"/>
      <c r="V12" s="40"/>
      <c r="W12" s="29">
        <f>C12+H12</f>
        <v>0</v>
      </c>
      <c r="X12" s="7"/>
      <c r="Y12" s="29">
        <f>C86+C122+C187</f>
        <v>9.3819999999999997</v>
      </c>
      <c r="Z12" s="41">
        <f>H123+H171+H229</f>
        <v>3.0510000000000002</v>
      </c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</row>
    <row r="13" spans="1:44" s="9" customFormat="1" ht="24.75" customHeight="1">
      <c r="A13" s="42"/>
      <c r="B13" s="43" t="s">
        <v>16</v>
      </c>
      <c r="C13" s="27"/>
      <c r="D13" s="27"/>
      <c r="E13" s="27"/>
      <c r="F13" s="44">
        <f>F15+F24+F81+F87+F95+F99+F112+F120+F126+F132+F159+F167+F170+F185+F198+F220+F229</f>
        <v>1823321.8650079998</v>
      </c>
      <c r="G13" s="44"/>
      <c r="H13" s="45"/>
      <c r="I13" s="45"/>
      <c r="J13" s="44"/>
      <c r="K13" s="44">
        <f>K15+K24+K81+K87+K95+K99+K109+K112+K120+K126+K132+K159+K167+K170+K185+K198+K203+K218+K220+K229</f>
        <v>2894103.0046516</v>
      </c>
      <c r="L13" s="46"/>
      <c r="M13" s="47"/>
      <c r="N13" s="47"/>
      <c r="O13" s="47"/>
      <c r="P13" s="44">
        <f>P15+P24+P81+P87+P95+P99+P109+P112+P120+P126+P132+P159+P167+P170+P185+P198+P203+P218+P220+P229</f>
        <v>453005.28600000002</v>
      </c>
      <c r="Q13" s="48"/>
      <c r="R13" s="49"/>
      <c r="S13" s="49"/>
      <c r="T13" s="50"/>
      <c r="U13" s="51"/>
      <c r="V13" s="52"/>
      <c r="W13" s="7"/>
      <c r="X13" s="7"/>
      <c r="Y13" s="53">
        <f>Y11-Y12</f>
        <v>89.910000000000011</v>
      </c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1:44" s="9" customFormat="1" ht="42.75" customHeight="1">
      <c r="A14" s="42"/>
      <c r="B14" s="43" t="s">
        <v>17</v>
      </c>
      <c r="C14" s="54"/>
      <c r="D14" s="54"/>
      <c r="E14" s="54"/>
      <c r="F14" s="54"/>
      <c r="G14" s="44">
        <f>G15+G24+G81+G87+G95+G99+G112+G120+G126+G132+G159+G167+G170+G185+G198+G220+G229</f>
        <v>118235.42094200001</v>
      </c>
      <c r="H14" s="55"/>
      <c r="I14" s="55"/>
      <c r="J14" s="55"/>
      <c r="K14" s="55"/>
      <c r="L14" s="46">
        <f>L15+L24+L81+L87+L95+L99+L109+L112+L120+L126+L132+L159+L167+L170+L185+L198+L203+L218+L220+L229</f>
        <v>185463.38800840001</v>
      </c>
      <c r="M14" s="47"/>
      <c r="N14" s="47"/>
      <c r="O14" s="47"/>
      <c r="P14" s="47"/>
      <c r="Q14" s="212">
        <f>Q15+Q24+Q81+Q87+Q95+Q99+Q109+Q112+Q120+Q126+Q132+Q159+Q167+Q170+Q185+Q198+Q203+Q218+Q220+Q229</f>
        <v>28772.114000000001</v>
      </c>
      <c r="R14" s="56"/>
      <c r="S14" s="56"/>
      <c r="T14" s="57"/>
      <c r="U14" s="58"/>
      <c r="V14" s="52"/>
      <c r="W14" s="7"/>
      <c r="X14" s="7"/>
      <c r="Y14" s="7"/>
      <c r="Z14" s="5"/>
      <c r="AA14" s="5" t="s">
        <v>3</v>
      </c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1:44" s="9" customFormat="1" ht="27" customHeight="1">
      <c r="A15" s="42"/>
      <c r="B15" s="59" t="s">
        <v>18</v>
      </c>
      <c r="C15" s="60">
        <f>C16</f>
        <v>2.7</v>
      </c>
      <c r="D15" s="60"/>
      <c r="E15" s="60">
        <f t="shared" ref="E15:G16" si="0">E16</f>
        <v>20930.599999999999</v>
      </c>
      <c r="F15" s="60">
        <f t="shared" si="0"/>
        <v>19674.8</v>
      </c>
      <c r="G15" s="60">
        <f t="shared" si="0"/>
        <v>1255.7999999999993</v>
      </c>
      <c r="H15" s="60">
        <f>SUM(H17:H23)</f>
        <v>8.43</v>
      </c>
      <c r="I15" s="60"/>
      <c r="J15" s="60">
        <f>SUM(J17:J23)</f>
        <v>554519.80000000005</v>
      </c>
      <c r="K15" s="60">
        <f t="shared" ref="K15:L15" si="1">SUM(K17:K23)</f>
        <v>521248.60000000003</v>
      </c>
      <c r="L15" s="60">
        <f t="shared" si="1"/>
        <v>33271.200000000004</v>
      </c>
      <c r="M15" s="47"/>
      <c r="N15" s="47"/>
      <c r="O15" s="47"/>
      <c r="P15" s="47"/>
      <c r="Q15" s="48"/>
      <c r="R15" s="62">
        <v>10.3</v>
      </c>
      <c r="S15" s="60"/>
      <c r="T15" s="60">
        <v>238000</v>
      </c>
      <c r="U15" s="60">
        <v>223720</v>
      </c>
      <c r="V15" s="63">
        <f>T15-U15</f>
        <v>14280</v>
      </c>
      <c r="W15" s="64"/>
      <c r="X15" s="65"/>
      <c r="Y15" s="7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1:44" s="9" customFormat="1" ht="40.5" customHeight="1">
      <c r="A16" s="66"/>
      <c r="B16" s="67" t="s">
        <v>139</v>
      </c>
      <c r="C16" s="68">
        <f>C17</f>
        <v>2.7</v>
      </c>
      <c r="D16" s="69"/>
      <c r="E16" s="70">
        <f t="shared" si="0"/>
        <v>20930.599999999999</v>
      </c>
      <c r="F16" s="70">
        <f t="shared" si="0"/>
        <v>19674.8</v>
      </c>
      <c r="G16" s="70">
        <f t="shared" si="0"/>
        <v>1255.7999999999993</v>
      </c>
      <c r="H16" s="71"/>
      <c r="I16" s="69"/>
      <c r="J16" s="72"/>
      <c r="K16" s="72"/>
      <c r="L16" s="73"/>
      <c r="M16" s="47"/>
      <c r="N16" s="47"/>
      <c r="O16" s="47"/>
      <c r="P16" s="47"/>
      <c r="Q16" s="48"/>
      <c r="R16" s="74">
        <v>10.3</v>
      </c>
      <c r="S16" s="72"/>
      <c r="T16" s="72">
        <v>238000</v>
      </c>
      <c r="U16" s="72">
        <v>223720</v>
      </c>
      <c r="V16" s="75">
        <f>T16-U16</f>
        <v>14280</v>
      </c>
      <c r="W16" s="7"/>
      <c r="X16" s="7"/>
      <c r="Y16" s="7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1:44" s="9" customFormat="1" ht="27" customHeight="1">
      <c r="A17" s="66">
        <v>1</v>
      </c>
      <c r="B17" s="67" t="s">
        <v>132</v>
      </c>
      <c r="C17" s="68">
        <v>2.7</v>
      </c>
      <c r="D17" s="69"/>
      <c r="E17" s="70">
        <v>20930.599999999999</v>
      </c>
      <c r="F17" s="70">
        <v>19674.8</v>
      </c>
      <c r="G17" s="70">
        <f>E17-F17</f>
        <v>1255.7999999999993</v>
      </c>
      <c r="H17" s="69"/>
      <c r="I17" s="69"/>
      <c r="J17" s="69"/>
      <c r="K17" s="69"/>
      <c r="L17" s="76"/>
      <c r="M17" s="47"/>
      <c r="N17" s="47"/>
      <c r="O17" s="47"/>
      <c r="P17" s="47"/>
      <c r="Q17" s="48"/>
      <c r="R17" s="74"/>
      <c r="S17" s="77"/>
      <c r="T17" s="72"/>
      <c r="U17" s="73"/>
      <c r="V17" s="75"/>
      <c r="W17" s="7"/>
      <c r="X17" s="7"/>
      <c r="Y17" s="7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s="9" customFormat="1" ht="27" customHeight="1">
      <c r="A18" s="66">
        <v>2</v>
      </c>
      <c r="B18" s="67" t="s">
        <v>190</v>
      </c>
      <c r="C18" s="68"/>
      <c r="D18" s="69"/>
      <c r="E18" s="70"/>
      <c r="F18" s="70"/>
      <c r="G18" s="70"/>
      <c r="H18" s="71">
        <v>1.07</v>
      </c>
      <c r="I18" s="69"/>
      <c r="J18" s="72">
        <f>SUM(K18:L18)</f>
        <v>41716.730840000004</v>
      </c>
      <c r="K18" s="72">
        <v>39213.726990000003</v>
      </c>
      <c r="L18" s="73">
        <v>2503.0038500000001</v>
      </c>
      <c r="M18" s="47"/>
      <c r="N18" s="47"/>
      <c r="O18" s="47"/>
      <c r="P18" s="47"/>
      <c r="Q18" s="48"/>
      <c r="R18" s="74"/>
      <c r="S18" s="77"/>
      <c r="T18" s="72"/>
      <c r="U18" s="73"/>
      <c r="V18" s="75"/>
      <c r="W18" s="7"/>
      <c r="X18" s="7"/>
      <c r="Y18" s="7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s="9" customFormat="1" ht="27" customHeight="1">
      <c r="A19" s="66">
        <v>3</v>
      </c>
      <c r="B19" s="67" t="s">
        <v>191</v>
      </c>
      <c r="C19" s="68"/>
      <c r="D19" s="69"/>
      <c r="E19" s="70"/>
      <c r="F19" s="70"/>
      <c r="G19" s="70"/>
      <c r="H19" s="71">
        <v>1.1200000000000001</v>
      </c>
      <c r="I19" s="69"/>
      <c r="J19" s="72">
        <f t="shared" ref="J19:J23" si="2">SUM(K19:L19)</f>
        <v>107684.83314999999</v>
      </c>
      <c r="K19" s="72">
        <v>101223.74316</v>
      </c>
      <c r="L19" s="73">
        <v>6461.0899900000004</v>
      </c>
      <c r="M19" s="47"/>
      <c r="N19" s="47"/>
      <c r="O19" s="47"/>
      <c r="P19" s="47"/>
      <c r="Q19" s="48"/>
      <c r="R19" s="74"/>
      <c r="S19" s="77"/>
      <c r="T19" s="72"/>
      <c r="U19" s="73"/>
      <c r="V19" s="75"/>
      <c r="W19" s="7"/>
      <c r="X19" s="7"/>
      <c r="Y19" s="7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s="9" customFormat="1" ht="27" customHeight="1">
      <c r="A20" s="66">
        <v>4</v>
      </c>
      <c r="B20" s="67" t="s">
        <v>192</v>
      </c>
      <c r="C20" s="68"/>
      <c r="D20" s="69"/>
      <c r="E20" s="70"/>
      <c r="F20" s="70"/>
      <c r="G20" s="70"/>
      <c r="H20" s="71">
        <v>3.5</v>
      </c>
      <c r="I20" s="69"/>
      <c r="J20" s="72">
        <f t="shared" si="2"/>
        <v>190333.33000000002</v>
      </c>
      <c r="K20" s="72">
        <v>178913.31820000001</v>
      </c>
      <c r="L20" s="73">
        <v>11420.0118</v>
      </c>
      <c r="M20" s="47"/>
      <c r="N20" s="47"/>
      <c r="O20" s="47"/>
      <c r="P20" s="47"/>
      <c r="Q20" s="48"/>
      <c r="R20" s="74"/>
      <c r="S20" s="77"/>
      <c r="T20" s="72"/>
      <c r="U20" s="73"/>
      <c r="V20" s="75"/>
      <c r="W20" s="7"/>
      <c r="X20" s="7"/>
      <c r="Y20" s="7"/>
      <c r="Z20" s="5" t="s">
        <v>12</v>
      </c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s="9" customFormat="1" ht="27" customHeight="1">
      <c r="A21" s="66">
        <v>5</v>
      </c>
      <c r="B21" s="67" t="s">
        <v>193</v>
      </c>
      <c r="C21" s="68"/>
      <c r="D21" s="69"/>
      <c r="E21" s="70"/>
      <c r="F21" s="70"/>
      <c r="G21" s="70"/>
      <c r="H21" s="71">
        <v>1.48</v>
      </c>
      <c r="I21" s="69"/>
      <c r="J21" s="72">
        <f t="shared" si="2"/>
        <v>118161.22063000001</v>
      </c>
      <c r="K21" s="72">
        <v>111071.54739000001</v>
      </c>
      <c r="L21" s="73">
        <v>7089.6732400000001</v>
      </c>
      <c r="M21" s="47"/>
      <c r="N21" s="47"/>
      <c r="O21" s="47"/>
      <c r="P21" s="47"/>
      <c r="Q21" s="48"/>
      <c r="R21" s="74"/>
      <c r="S21" s="77"/>
      <c r="T21" s="72"/>
      <c r="U21" s="73"/>
      <c r="V21" s="75"/>
      <c r="W21" s="7"/>
      <c r="X21" s="7"/>
      <c r="Y21" s="7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s="9" customFormat="1" ht="42" customHeight="1">
      <c r="A22" s="66">
        <v>6</v>
      </c>
      <c r="B22" s="67" t="s">
        <v>222</v>
      </c>
      <c r="C22" s="68"/>
      <c r="D22" s="69"/>
      <c r="E22" s="70"/>
      <c r="F22" s="70"/>
      <c r="G22" s="70"/>
      <c r="H22" s="71">
        <v>0.75</v>
      </c>
      <c r="I22" s="69"/>
      <c r="J22" s="72">
        <f t="shared" si="2"/>
        <v>64739.656849999999</v>
      </c>
      <c r="K22" s="72">
        <v>60855.277439999998</v>
      </c>
      <c r="L22" s="73">
        <v>3884.37941</v>
      </c>
      <c r="M22" s="47"/>
      <c r="N22" s="47"/>
      <c r="O22" s="47"/>
      <c r="P22" s="47"/>
      <c r="Q22" s="48"/>
      <c r="R22" s="74"/>
      <c r="S22" s="77"/>
      <c r="T22" s="72"/>
      <c r="U22" s="73"/>
      <c r="V22" s="75"/>
      <c r="W22" s="7"/>
      <c r="X22" s="7"/>
      <c r="Y22" s="7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s="9" customFormat="1" ht="27" customHeight="1">
      <c r="A23" s="66">
        <v>7</v>
      </c>
      <c r="B23" s="67" t="s">
        <v>194</v>
      </c>
      <c r="C23" s="68"/>
      <c r="D23" s="69"/>
      <c r="E23" s="70"/>
      <c r="F23" s="70"/>
      <c r="G23" s="70"/>
      <c r="H23" s="71">
        <v>0.51</v>
      </c>
      <c r="I23" s="69"/>
      <c r="J23" s="72">
        <f t="shared" si="2"/>
        <v>31884.02853</v>
      </c>
      <c r="K23" s="72">
        <v>29970.986819999998</v>
      </c>
      <c r="L23" s="73">
        <v>1913.04171</v>
      </c>
      <c r="M23" s="47"/>
      <c r="N23" s="47"/>
      <c r="O23" s="47"/>
      <c r="P23" s="47"/>
      <c r="Q23" s="48"/>
      <c r="R23" s="74"/>
      <c r="S23" s="77"/>
      <c r="T23" s="72"/>
      <c r="U23" s="73"/>
      <c r="V23" s="75"/>
      <c r="W23" s="7"/>
      <c r="X23" s="7"/>
      <c r="Y23" s="7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1:44" s="9" customFormat="1" ht="25.5" customHeight="1">
      <c r="A24" s="66"/>
      <c r="B24" s="59" t="s">
        <v>167</v>
      </c>
      <c r="C24" s="60">
        <f>C25+C64</f>
        <v>42.684000000000012</v>
      </c>
      <c r="D24" s="60"/>
      <c r="E24" s="60">
        <f>E25+E64</f>
        <v>530764.01169999992</v>
      </c>
      <c r="F24" s="78">
        <f>F25+F64</f>
        <v>498918.19999799982</v>
      </c>
      <c r="G24" s="60">
        <f>G25+G64</f>
        <v>31845.811702000028</v>
      </c>
      <c r="H24" s="60">
        <f>H25+H64</f>
        <v>19.367000000000001</v>
      </c>
      <c r="I24" s="60"/>
      <c r="J24" s="60">
        <f>J25+J64+0.09</f>
        <v>274205.91842000006</v>
      </c>
      <c r="K24" s="60">
        <f>K25+K64</f>
        <v>257753.52795159997</v>
      </c>
      <c r="L24" s="61">
        <f>L25+L64</f>
        <v>16452.389708400002</v>
      </c>
      <c r="M24" s="47"/>
      <c r="N24" s="47"/>
      <c r="O24" s="47"/>
      <c r="P24" s="47"/>
      <c r="Q24" s="48"/>
      <c r="R24" s="62" t="e">
        <f>#REF!+#REF!</f>
        <v>#REF!</v>
      </c>
      <c r="S24" s="62"/>
      <c r="T24" s="57" t="e">
        <f>#REF!+#REF!</f>
        <v>#REF!</v>
      </c>
      <c r="U24" s="58" t="e">
        <f>#REF!+#REF!</f>
        <v>#REF!</v>
      </c>
      <c r="V24" s="63" t="e">
        <f>#REF!</f>
        <v>#REF!</v>
      </c>
      <c r="W24" s="79">
        <f>F24/E24*100</f>
        <v>94.000005463821822</v>
      </c>
      <c r="X24" s="80">
        <f>K24/J24*100</f>
        <v>93.999987103414725</v>
      </c>
      <c r="Y24" s="7"/>
      <c r="Z24" s="81">
        <f>K24-'[1]09.06.25 уточ Валуйки и Прохор'!P29</f>
        <v>-14326.97204839997</v>
      </c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s="9" customFormat="1" ht="39.75" customHeight="1">
      <c r="A25" s="82"/>
      <c r="B25" s="83" t="s">
        <v>88</v>
      </c>
      <c r="C25" s="84">
        <f>SUM(C26:C45)</f>
        <v>20.897000000000006</v>
      </c>
      <c r="D25" s="85"/>
      <c r="E25" s="86">
        <f>SUM(E26:E45)</f>
        <v>348609.78451999993</v>
      </c>
      <c r="F25" s="86">
        <f t="shared" ref="F25:G25" si="3">SUM(F26:F45)</f>
        <v>327693.19999879989</v>
      </c>
      <c r="G25" s="86">
        <f t="shared" si="3"/>
        <v>20916.584521200009</v>
      </c>
      <c r="H25" s="86">
        <f>SUM(H44:H63)</f>
        <v>18.084</v>
      </c>
      <c r="I25" s="85"/>
      <c r="J25" s="86">
        <f t="shared" ref="J25:L25" si="4">SUM(J44:J63)</f>
        <v>240122.07528000002</v>
      </c>
      <c r="K25" s="86">
        <f t="shared" si="4"/>
        <v>225714.8</v>
      </c>
      <c r="L25" s="86">
        <f t="shared" si="4"/>
        <v>14407.32452</v>
      </c>
      <c r="M25" s="47"/>
      <c r="N25" s="47"/>
      <c r="O25" s="47"/>
      <c r="P25" s="47"/>
      <c r="Q25" s="48"/>
      <c r="R25" s="62"/>
      <c r="S25" s="62"/>
      <c r="T25" s="57"/>
      <c r="U25" s="58"/>
      <c r="V25" s="63"/>
      <c r="W25" s="79">
        <f>F25/E25*100</f>
        <v>94.000000731476874</v>
      </c>
      <c r="X25" s="7"/>
      <c r="Y25" s="7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s="9" customFormat="1" ht="27" customHeight="1">
      <c r="A26" s="82">
        <v>8</v>
      </c>
      <c r="B26" s="87" t="s">
        <v>20</v>
      </c>
      <c r="C26" s="84">
        <v>1.655</v>
      </c>
      <c r="D26" s="85"/>
      <c r="E26" s="86">
        <v>9574.5759400000006</v>
      </c>
      <c r="F26" s="86">
        <f t="shared" ref="F26:F31" si="5">E26*0.94</f>
        <v>9000.1013836000002</v>
      </c>
      <c r="G26" s="86">
        <f t="shared" ref="G26:G45" si="6">E26-F26</f>
        <v>574.47455640000044</v>
      </c>
      <c r="H26" s="85"/>
      <c r="I26" s="85"/>
      <c r="J26" s="85"/>
      <c r="K26" s="60"/>
      <c r="L26" s="86"/>
      <c r="M26" s="47"/>
      <c r="N26" s="47"/>
      <c r="O26" s="47"/>
      <c r="P26" s="47"/>
      <c r="Q26" s="48"/>
      <c r="R26" s="62"/>
      <c r="S26" s="62"/>
      <c r="T26" s="57"/>
      <c r="U26" s="58"/>
      <c r="V26" s="63"/>
      <c r="W26" s="64"/>
      <c r="X26" s="7"/>
      <c r="Y26" s="7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</row>
    <row r="27" spans="1:44" s="9" customFormat="1" ht="27" customHeight="1">
      <c r="A27" s="82">
        <v>9</v>
      </c>
      <c r="B27" s="87" t="s">
        <v>21</v>
      </c>
      <c r="C27" s="84">
        <v>4.2460000000000004</v>
      </c>
      <c r="D27" s="85"/>
      <c r="E27" s="86">
        <v>64412.141629999998</v>
      </c>
      <c r="F27" s="86">
        <f t="shared" si="5"/>
        <v>60547.413132199996</v>
      </c>
      <c r="G27" s="86">
        <f t="shared" si="6"/>
        <v>3864.7284978000025</v>
      </c>
      <c r="H27" s="85"/>
      <c r="I27" s="85"/>
      <c r="J27" s="85"/>
      <c r="K27" s="60"/>
      <c r="L27" s="61"/>
      <c r="M27" s="47"/>
      <c r="N27" s="47"/>
      <c r="O27" s="47"/>
      <c r="P27" s="47"/>
      <c r="Q27" s="48"/>
      <c r="R27" s="62"/>
      <c r="S27" s="62"/>
      <c r="T27" s="57"/>
      <c r="U27" s="58"/>
      <c r="V27" s="63"/>
      <c r="W27" s="64">
        <f t="shared" ref="W27:W43" si="7">E27/C27</f>
        <v>15170.075748940177</v>
      </c>
      <c r="X27" s="7"/>
      <c r="Y27" s="7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</row>
    <row r="28" spans="1:44" s="9" customFormat="1" ht="27" customHeight="1">
      <c r="A28" s="82">
        <v>10</v>
      </c>
      <c r="B28" s="87" t="s">
        <v>22</v>
      </c>
      <c r="C28" s="84">
        <v>2.9929999999999999</v>
      </c>
      <c r="D28" s="85"/>
      <c r="E28" s="86">
        <v>21251.69</v>
      </c>
      <c r="F28" s="86">
        <f t="shared" si="5"/>
        <v>19976.588599999999</v>
      </c>
      <c r="G28" s="86">
        <f t="shared" si="6"/>
        <v>1275.1013999999996</v>
      </c>
      <c r="H28" s="85"/>
      <c r="I28" s="85"/>
      <c r="J28" s="85"/>
      <c r="K28" s="60"/>
      <c r="L28" s="61"/>
      <c r="M28" s="47"/>
      <c r="N28" s="47"/>
      <c r="O28" s="47"/>
      <c r="P28" s="47"/>
      <c r="Q28" s="48"/>
      <c r="R28" s="62"/>
      <c r="S28" s="62"/>
      <c r="T28" s="57"/>
      <c r="U28" s="58"/>
      <c r="V28" s="63"/>
      <c r="W28" s="64">
        <f t="shared" si="7"/>
        <v>7100.4644169729363</v>
      </c>
      <c r="X28" s="7"/>
      <c r="Y28" s="7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s="9" customFormat="1" ht="27" customHeight="1">
      <c r="A29" s="82">
        <v>11</v>
      </c>
      <c r="B29" s="87" t="s">
        <v>23</v>
      </c>
      <c r="C29" s="84">
        <v>1.3169999999999999</v>
      </c>
      <c r="D29" s="85"/>
      <c r="E29" s="86">
        <v>11819.596869999999</v>
      </c>
      <c r="F29" s="86">
        <f t="shared" si="5"/>
        <v>11110.421057799998</v>
      </c>
      <c r="G29" s="86">
        <f t="shared" si="6"/>
        <v>709.17581220000102</v>
      </c>
      <c r="H29" s="85"/>
      <c r="I29" s="85"/>
      <c r="J29" s="85"/>
      <c r="K29" s="60"/>
      <c r="L29" s="61"/>
      <c r="M29" s="47"/>
      <c r="N29" s="47"/>
      <c r="O29" s="47"/>
      <c r="P29" s="47"/>
      <c r="Q29" s="48"/>
      <c r="R29" s="62"/>
      <c r="S29" s="62"/>
      <c r="T29" s="57"/>
      <c r="U29" s="58"/>
      <c r="V29" s="63"/>
      <c r="W29" s="64">
        <f t="shared" si="7"/>
        <v>8974.6369552012147</v>
      </c>
      <c r="X29" s="7"/>
      <c r="Y29" s="7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</row>
    <row r="30" spans="1:44" s="9" customFormat="1" ht="27" customHeight="1">
      <c r="A30" s="82">
        <v>12</v>
      </c>
      <c r="B30" s="87" t="s">
        <v>24</v>
      </c>
      <c r="C30" s="84">
        <v>1.06</v>
      </c>
      <c r="D30" s="85"/>
      <c r="E30" s="86">
        <v>22860.11</v>
      </c>
      <c r="F30" s="86">
        <f>E30*0.94</f>
        <v>21488.503399999998</v>
      </c>
      <c r="G30" s="86">
        <f t="shared" si="6"/>
        <v>1371.6066000000028</v>
      </c>
      <c r="H30" s="85"/>
      <c r="I30" s="85"/>
      <c r="J30" s="85"/>
      <c r="K30" s="60"/>
      <c r="L30" s="61"/>
      <c r="M30" s="47"/>
      <c r="N30" s="47"/>
      <c r="O30" s="47"/>
      <c r="P30" s="47"/>
      <c r="Q30" s="48"/>
      <c r="R30" s="62"/>
      <c r="S30" s="62"/>
      <c r="T30" s="57"/>
      <c r="U30" s="58"/>
      <c r="V30" s="63"/>
      <c r="W30" s="64">
        <f t="shared" si="7"/>
        <v>21566.141509433961</v>
      </c>
      <c r="X30" s="7"/>
      <c r="Y30" s="7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4" s="9" customFormat="1" ht="27" customHeight="1">
      <c r="A31" s="82">
        <v>13</v>
      </c>
      <c r="B31" s="87" t="s">
        <v>25</v>
      </c>
      <c r="C31" s="84">
        <v>0.82899999999999996</v>
      </c>
      <c r="D31" s="85"/>
      <c r="E31" s="86">
        <v>18359.7</v>
      </c>
      <c r="F31" s="86">
        <f t="shared" si="5"/>
        <v>17258.117999999999</v>
      </c>
      <c r="G31" s="86">
        <f t="shared" si="6"/>
        <v>1101.5820000000022</v>
      </c>
      <c r="H31" s="85"/>
      <c r="I31" s="85"/>
      <c r="J31" s="85"/>
      <c r="K31" s="60"/>
      <c r="L31" s="61"/>
      <c r="M31" s="47"/>
      <c r="N31" s="47"/>
      <c r="O31" s="47"/>
      <c r="P31" s="47"/>
      <c r="Q31" s="48"/>
      <c r="R31" s="62"/>
      <c r="S31" s="62"/>
      <c r="T31" s="57"/>
      <c r="U31" s="58"/>
      <c r="V31" s="63"/>
      <c r="W31" s="64">
        <f t="shared" si="7"/>
        <v>22146.80337756333</v>
      </c>
      <c r="X31" s="7" t="s">
        <v>19</v>
      </c>
      <c r="Y31" s="7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s="9" customFormat="1" ht="27" customHeight="1">
      <c r="A32" s="82">
        <v>14</v>
      </c>
      <c r="B32" s="87" t="s">
        <v>26</v>
      </c>
      <c r="C32" s="84">
        <v>4.0069999999999997</v>
      </c>
      <c r="D32" s="85"/>
      <c r="E32" s="86">
        <v>96084.344100000002</v>
      </c>
      <c r="F32" s="86">
        <f>E32*0.94</f>
        <v>90319.283454000004</v>
      </c>
      <c r="G32" s="86">
        <f t="shared" si="6"/>
        <v>5765.0606459999981</v>
      </c>
      <c r="H32" s="85"/>
      <c r="I32" s="85"/>
      <c r="J32" s="85"/>
      <c r="K32" s="60"/>
      <c r="L32" s="61"/>
      <c r="M32" s="47"/>
      <c r="N32" s="47"/>
      <c r="O32" s="47"/>
      <c r="P32" s="47"/>
      <c r="Q32" s="48"/>
      <c r="R32" s="62"/>
      <c r="S32" s="62"/>
      <c r="T32" s="57"/>
      <c r="U32" s="58"/>
      <c r="V32" s="63"/>
      <c r="W32" s="64">
        <f t="shared" si="7"/>
        <v>23979.122560519096</v>
      </c>
      <c r="X32" s="7"/>
      <c r="Y32" s="7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1:44" s="9" customFormat="1" ht="26.25" customHeight="1">
      <c r="A33" s="82">
        <v>15</v>
      </c>
      <c r="B33" s="87" t="s">
        <v>104</v>
      </c>
      <c r="C33" s="88">
        <v>0.67200000000000004</v>
      </c>
      <c r="D33" s="89"/>
      <c r="E33" s="86">
        <v>15758.495999999999</v>
      </c>
      <c r="F33" s="86">
        <f t="shared" ref="F33:F44" si="8">E33*0.94</f>
        <v>14812.986239999998</v>
      </c>
      <c r="G33" s="86">
        <f t="shared" si="6"/>
        <v>945.50976000000082</v>
      </c>
      <c r="H33" s="85"/>
      <c r="I33" s="85"/>
      <c r="J33" s="85"/>
      <c r="K33" s="85"/>
      <c r="L33" s="61"/>
      <c r="M33" s="47"/>
      <c r="N33" s="47"/>
      <c r="O33" s="47"/>
      <c r="P33" s="47"/>
      <c r="Q33" s="48"/>
      <c r="R33" s="62"/>
      <c r="S33" s="62"/>
      <c r="T33" s="57"/>
      <c r="U33" s="58"/>
      <c r="V33" s="63"/>
      <c r="W33" s="64">
        <f t="shared" si="7"/>
        <v>23450.142857142855</v>
      </c>
      <c r="X33" s="7"/>
      <c r="Y33" s="7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4" s="9" customFormat="1" ht="27" customHeight="1">
      <c r="A34" s="82">
        <v>16</v>
      </c>
      <c r="B34" s="87" t="s">
        <v>105</v>
      </c>
      <c r="C34" s="90">
        <v>0.12</v>
      </c>
      <c r="D34" s="89"/>
      <c r="E34" s="86">
        <v>1868.7811999999999</v>
      </c>
      <c r="F34" s="86">
        <f t="shared" si="8"/>
        <v>1756.6543279999999</v>
      </c>
      <c r="G34" s="86">
        <f t="shared" si="6"/>
        <v>112.12687200000005</v>
      </c>
      <c r="H34" s="85"/>
      <c r="I34" s="85"/>
      <c r="J34" s="85"/>
      <c r="K34" s="85"/>
      <c r="L34" s="61"/>
      <c r="M34" s="47"/>
      <c r="N34" s="47"/>
      <c r="O34" s="47"/>
      <c r="P34" s="47"/>
      <c r="Q34" s="48"/>
      <c r="R34" s="62"/>
      <c r="S34" s="62"/>
      <c r="T34" s="57"/>
      <c r="U34" s="58"/>
      <c r="V34" s="63"/>
      <c r="W34" s="64">
        <f t="shared" si="7"/>
        <v>15573.176666666666</v>
      </c>
      <c r="X34" s="7"/>
      <c r="Y34" s="7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1:44" s="9" customFormat="1" ht="27" customHeight="1">
      <c r="A35" s="82">
        <v>17</v>
      </c>
      <c r="B35" s="87" t="s">
        <v>106</v>
      </c>
      <c r="C35" s="91">
        <v>0.32</v>
      </c>
      <c r="D35" s="92"/>
      <c r="E35" s="86">
        <v>4875.5829999999996</v>
      </c>
      <c r="F35" s="86">
        <f t="shared" si="8"/>
        <v>4583.0480199999993</v>
      </c>
      <c r="G35" s="86">
        <f t="shared" si="6"/>
        <v>292.53498000000036</v>
      </c>
      <c r="H35" s="85"/>
      <c r="I35" s="85"/>
      <c r="J35" s="85"/>
      <c r="K35" s="85"/>
      <c r="L35" s="61"/>
      <c r="M35" s="47"/>
      <c r="N35" s="47"/>
      <c r="O35" s="47"/>
      <c r="P35" s="47"/>
      <c r="Q35" s="48"/>
      <c r="R35" s="62"/>
      <c r="S35" s="62"/>
      <c r="T35" s="57"/>
      <c r="U35" s="58"/>
      <c r="V35" s="63"/>
      <c r="W35" s="64">
        <f t="shared" si="7"/>
        <v>15236.196874999998</v>
      </c>
      <c r="X35" s="7"/>
      <c r="Y35" s="7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s="9" customFormat="1" ht="63" customHeight="1">
      <c r="A36" s="82">
        <v>18</v>
      </c>
      <c r="B36" s="94" t="s">
        <v>145</v>
      </c>
      <c r="C36" s="95">
        <f>0.05+0.142+0.111+0.045+0.162</f>
        <v>0.51</v>
      </c>
      <c r="D36" s="96"/>
      <c r="E36" s="97">
        <v>7774.7408999999998</v>
      </c>
      <c r="F36" s="97">
        <f t="shared" si="8"/>
        <v>7308.2564459999994</v>
      </c>
      <c r="G36" s="97">
        <f t="shared" si="6"/>
        <v>466.48445400000037</v>
      </c>
      <c r="H36" s="98"/>
      <c r="I36" s="98"/>
      <c r="J36" s="98"/>
      <c r="K36" s="98"/>
      <c r="L36" s="99"/>
      <c r="M36" s="100"/>
      <c r="N36" s="100"/>
      <c r="O36" s="100"/>
      <c r="P36" s="100"/>
      <c r="Q36" s="101"/>
      <c r="R36" s="62"/>
      <c r="S36" s="62"/>
      <c r="T36" s="57"/>
      <c r="U36" s="58"/>
      <c r="V36" s="63"/>
      <c r="W36" s="64">
        <f t="shared" si="7"/>
        <v>15244.59</v>
      </c>
      <c r="X36" s="7"/>
      <c r="Y36" s="7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s="9" customFormat="1" ht="27" customHeight="1">
      <c r="A37" s="82">
        <v>19</v>
      </c>
      <c r="B37" s="87" t="s">
        <v>110</v>
      </c>
      <c r="C37" s="88">
        <v>0.49</v>
      </c>
      <c r="D37" s="89"/>
      <c r="E37" s="86">
        <v>6354.9597700000004</v>
      </c>
      <c r="F37" s="86">
        <f t="shared" si="8"/>
        <v>5973.6621838000001</v>
      </c>
      <c r="G37" s="86">
        <f t="shared" si="6"/>
        <v>381.2975862000003</v>
      </c>
      <c r="H37" s="85"/>
      <c r="I37" s="85"/>
      <c r="J37" s="85"/>
      <c r="K37" s="85"/>
      <c r="L37" s="61"/>
      <c r="M37" s="47"/>
      <c r="N37" s="47"/>
      <c r="O37" s="47"/>
      <c r="P37" s="47"/>
      <c r="Q37" s="48"/>
      <c r="R37" s="62"/>
      <c r="S37" s="62"/>
      <c r="T37" s="57"/>
      <c r="U37" s="58"/>
      <c r="V37" s="63"/>
      <c r="W37" s="64">
        <f t="shared" si="7"/>
        <v>12969.305653061225</v>
      </c>
      <c r="X37" s="7"/>
      <c r="Y37" s="7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s="9" customFormat="1" ht="27" customHeight="1">
      <c r="A38" s="82">
        <v>20</v>
      </c>
      <c r="B38" s="87" t="s">
        <v>109</v>
      </c>
      <c r="C38" s="88">
        <v>7.6999999999999999E-2</v>
      </c>
      <c r="D38" s="89"/>
      <c r="E38" s="86">
        <v>1203.77</v>
      </c>
      <c r="F38" s="86">
        <f t="shared" si="8"/>
        <v>1131.5437999999999</v>
      </c>
      <c r="G38" s="86">
        <f t="shared" si="6"/>
        <v>72.226200000000063</v>
      </c>
      <c r="H38" s="85"/>
      <c r="I38" s="85"/>
      <c r="J38" s="85"/>
      <c r="K38" s="85"/>
      <c r="L38" s="61"/>
      <c r="M38" s="47"/>
      <c r="N38" s="47"/>
      <c r="O38" s="47"/>
      <c r="P38" s="47"/>
      <c r="Q38" s="48"/>
      <c r="R38" s="62"/>
      <c r="S38" s="62"/>
      <c r="T38" s="57"/>
      <c r="U38" s="58"/>
      <c r="V38" s="63"/>
      <c r="W38" s="64">
        <f t="shared" si="7"/>
        <v>15633.376623376624</v>
      </c>
      <c r="X38" s="7"/>
      <c r="Y38" s="7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s="9" customFormat="1" ht="27" customHeight="1">
      <c r="A39" s="82">
        <v>21</v>
      </c>
      <c r="B39" s="87" t="s">
        <v>111</v>
      </c>
      <c r="C39" s="88">
        <v>0.18</v>
      </c>
      <c r="D39" s="89"/>
      <c r="E39" s="86">
        <v>2460.3000000000002</v>
      </c>
      <c r="F39" s="86">
        <f t="shared" si="8"/>
        <v>2312.6820000000002</v>
      </c>
      <c r="G39" s="86">
        <f t="shared" si="6"/>
        <v>147.61799999999994</v>
      </c>
      <c r="H39" s="85"/>
      <c r="I39" s="85"/>
      <c r="J39" s="85"/>
      <c r="K39" s="85"/>
      <c r="L39" s="61"/>
      <c r="M39" s="47"/>
      <c r="N39" s="47"/>
      <c r="O39" s="47"/>
      <c r="P39" s="47"/>
      <c r="Q39" s="48"/>
      <c r="R39" s="62"/>
      <c r="S39" s="62"/>
      <c r="T39" s="57"/>
      <c r="U39" s="58"/>
      <c r="V39" s="63"/>
      <c r="W39" s="64">
        <f t="shared" si="7"/>
        <v>13668.333333333336</v>
      </c>
      <c r="X39" s="7"/>
      <c r="Y39" s="7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4" s="9" customFormat="1" ht="27" customHeight="1">
      <c r="A40" s="82">
        <v>22</v>
      </c>
      <c r="B40" s="87" t="s">
        <v>108</v>
      </c>
      <c r="C40" s="88">
        <v>0.125</v>
      </c>
      <c r="D40" s="89"/>
      <c r="E40" s="86">
        <v>1955.98</v>
      </c>
      <c r="F40" s="86">
        <f t="shared" si="8"/>
        <v>1838.6211999999998</v>
      </c>
      <c r="G40" s="86">
        <f t="shared" si="6"/>
        <v>117.3588000000002</v>
      </c>
      <c r="H40" s="85"/>
      <c r="I40" s="85"/>
      <c r="J40" s="85"/>
      <c r="K40" s="85"/>
      <c r="L40" s="61"/>
      <c r="M40" s="47"/>
      <c r="N40" s="47"/>
      <c r="O40" s="47"/>
      <c r="P40" s="47"/>
      <c r="Q40" s="48"/>
      <c r="R40" s="62"/>
      <c r="S40" s="62"/>
      <c r="T40" s="57"/>
      <c r="U40" s="58"/>
      <c r="V40" s="63"/>
      <c r="W40" s="64">
        <f t="shared" si="7"/>
        <v>15647.84</v>
      </c>
      <c r="X40" s="7"/>
      <c r="Y40" s="7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s="9" customFormat="1" ht="27" customHeight="1">
      <c r="A41" s="82">
        <v>23</v>
      </c>
      <c r="B41" s="87" t="s">
        <v>107</v>
      </c>
      <c r="C41" s="88">
        <v>0.22500000000000001</v>
      </c>
      <c r="D41" s="89"/>
      <c r="E41" s="86">
        <v>5006.3954999999996</v>
      </c>
      <c r="F41" s="86">
        <f t="shared" si="8"/>
        <v>4706.0117699999992</v>
      </c>
      <c r="G41" s="86">
        <f t="shared" si="6"/>
        <v>300.38373000000047</v>
      </c>
      <c r="H41" s="85"/>
      <c r="I41" s="85"/>
      <c r="J41" s="85"/>
      <c r="K41" s="85"/>
      <c r="L41" s="61"/>
      <c r="M41" s="47"/>
      <c r="N41" s="47"/>
      <c r="O41" s="47"/>
      <c r="P41" s="47"/>
      <c r="Q41" s="48"/>
      <c r="R41" s="62"/>
      <c r="S41" s="62"/>
      <c r="T41" s="57"/>
      <c r="U41" s="58"/>
      <c r="V41" s="63"/>
      <c r="W41" s="64">
        <f t="shared" si="7"/>
        <v>22250.646666666664</v>
      </c>
      <c r="X41" s="7"/>
      <c r="Y41" s="7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s="9" customFormat="1" ht="27" customHeight="1">
      <c r="A42" s="82">
        <v>24</v>
      </c>
      <c r="B42" s="87" t="s">
        <v>112</v>
      </c>
      <c r="C42" s="88">
        <v>0.25</v>
      </c>
      <c r="D42" s="89"/>
      <c r="E42" s="86">
        <v>3928.9476500000001</v>
      </c>
      <c r="F42" s="86">
        <f t="shared" si="8"/>
        <v>3693.210791</v>
      </c>
      <c r="G42" s="86">
        <f t="shared" si="6"/>
        <v>235.73685900000009</v>
      </c>
      <c r="H42" s="85"/>
      <c r="I42" s="85"/>
      <c r="J42" s="85"/>
      <c r="K42" s="85"/>
      <c r="L42" s="61"/>
      <c r="M42" s="47"/>
      <c r="N42" s="47"/>
      <c r="O42" s="47"/>
      <c r="P42" s="47"/>
      <c r="Q42" s="48"/>
      <c r="R42" s="62"/>
      <c r="S42" s="62"/>
      <c r="T42" s="57"/>
      <c r="U42" s="58"/>
      <c r="V42" s="63"/>
      <c r="W42" s="64">
        <f t="shared" si="7"/>
        <v>15715.7906</v>
      </c>
      <c r="X42" s="7"/>
      <c r="Y42" s="7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s="9" customFormat="1" ht="45" customHeight="1">
      <c r="A43" s="82">
        <v>25</v>
      </c>
      <c r="B43" s="87" t="s">
        <v>142</v>
      </c>
      <c r="C43" s="102">
        <f>0.777+0.26+0.271+0.292</f>
        <v>1.5999999999999999</v>
      </c>
      <c r="D43" s="103"/>
      <c r="E43" s="86">
        <v>14470.14</v>
      </c>
      <c r="F43" s="86">
        <f t="shared" si="8"/>
        <v>13601.931599999998</v>
      </c>
      <c r="G43" s="86">
        <f t="shared" si="6"/>
        <v>868.20840000000135</v>
      </c>
      <c r="H43" s="85"/>
      <c r="I43" s="85"/>
      <c r="J43" s="85"/>
      <c r="K43" s="85"/>
      <c r="L43" s="61"/>
      <c r="M43" s="47"/>
      <c r="N43" s="47"/>
      <c r="O43" s="47"/>
      <c r="P43" s="47"/>
      <c r="Q43" s="48"/>
      <c r="R43" s="62"/>
      <c r="S43" s="62"/>
      <c r="T43" s="57"/>
      <c r="U43" s="58"/>
      <c r="V43" s="63"/>
      <c r="W43" s="64">
        <f t="shared" si="7"/>
        <v>9043.8374999999996</v>
      </c>
      <c r="X43" s="7"/>
      <c r="Y43" s="7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1:44" s="9" customFormat="1" ht="81" customHeight="1">
      <c r="A44" s="82">
        <v>26</v>
      </c>
      <c r="B44" s="104" t="s">
        <v>143</v>
      </c>
      <c r="C44" s="105"/>
      <c r="D44" s="106"/>
      <c r="E44" s="107">
        <v>16657.521509999999</v>
      </c>
      <c r="F44" s="107">
        <f t="shared" si="8"/>
        <v>15658.070219399999</v>
      </c>
      <c r="G44" s="107">
        <f t="shared" si="6"/>
        <v>999.45129059999999</v>
      </c>
      <c r="H44" s="108">
        <v>2.98</v>
      </c>
      <c r="I44" s="109"/>
      <c r="J44" s="107">
        <v>20126.99339</v>
      </c>
      <c r="K44" s="107">
        <v>18919.400000000001</v>
      </c>
      <c r="L44" s="110">
        <f>J44-K44</f>
        <v>1207.5933899999982</v>
      </c>
      <c r="M44" s="47"/>
      <c r="N44" s="47"/>
      <c r="O44" s="47"/>
      <c r="P44" s="47"/>
      <c r="Q44" s="48"/>
      <c r="R44" s="62"/>
      <c r="S44" s="62"/>
      <c r="T44" s="57"/>
      <c r="U44" s="58"/>
      <c r="V44" s="63"/>
      <c r="W44" s="64">
        <f>(E44+J44)/H44</f>
        <v>12343.796946308723</v>
      </c>
      <c r="X44" s="7"/>
      <c r="Y44" s="7"/>
      <c r="Z44" s="5" t="s">
        <v>12</v>
      </c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s="9" customFormat="1" ht="41.25" customHeight="1">
      <c r="A45" s="82">
        <v>27</v>
      </c>
      <c r="B45" s="104" t="s">
        <v>180</v>
      </c>
      <c r="C45" s="102">
        <v>0.221</v>
      </c>
      <c r="D45" s="106"/>
      <c r="E45" s="107">
        <v>21932.010450000002</v>
      </c>
      <c r="F45" s="107">
        <f>E45*0.94+0.00255</f>
        <v>20616.092373000003</v>
      </c>
      <c r="G45" s="107">
        <f t="shared" si="6"/>
        <v>1315.9180769999984</v>
      </c>
      <c r="H45" s="108"/>
      <c r="I45" s="109"/>
      <c r="J45" s="107"/>
      <c r="K45" s="107"/>
      <c r="L45" s="110"/>
      <c r="M45" s="47"/>
      <c r="N45" s="47"/>
      <c r="O45" s="47"/>
      <c r="P45" s="47"/>
      <c r="Q45" s="48"/>
      <c r="R45" s="62"/>
      <c r="S45" s="62"/>
      <c r="T45" s="57"/>
      <c r="U45" s="58"/>
      <c r="V45" s="63"/>
      <c r="W45" s="64"/>
      <c r="X45" s="7"/>
      <c r="Y45" s="7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1:44" s="9" customFormat="1" ht="60.75" customHeight="1">
      <c r="A46" s="82">
        <v>28</v>
      </c>
      <c r="B46" s="104" t="s">
        <v>144</v>
      </c>
      <c r="C46" s="105"/>
      <c r="D46" s="106"/>
      <c r="E46" s="86"/>
      <c r="F46" s="86"/>
      <c r="G46" s="86"/>
      <c r="H46" s="108">
        <v>0.89500000000000002</v>
      </c>
      <c r="I46" s="85"/>
      <c r="J46" s="86">
        <v>14043.6489</v>
      </c>
      <c r="K46" s="107">
        <v>13201</v>
      </c>
      <c r="L46" s="110">
        <f t="shared" ref="L46:L61" si="9">J46-K46</f>
        <v>842.64890000000014</v>
      </c>
      <c r="M46" s="47"/>
      <c r="N46" s="47"/>
      <c r="O46" s="47"/>
      <c r="P46" s="47"/>
      <c r="Q46" s="48"/>
      <c r="R46" s="62"/>
      <c r="S46" s="62"/>
      <c r="T46" s="57"/>
      <c r="U46" s="58"/>
      <c r="V46" s="63"/>
      <c r="W46" s="64"/>
      <c r="X46" s="7"/>
      <c r="Y46" s="7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s="9" customFormat="1" ht="27" customHeight="1">
      <c r="A47" s="82">
        <v>29</v>
      </c>
      <c r="B47" s="104" t="s">
        <v>115</v>
      </c>
      <c r="C47" s="105"/>
      <c r="D47" s="106"/>
      <c r="E47" s="86"/>
      <c r="F47" s="86"/>
      <c r="G47" s="86"/>
      <c r="H47" s="108">
        <v>1.0569999999999999</v>
      </c>
      <c r="I47" s="85"/>
      <c r="J47" s="86">
        <v>18300.022199999999</v>
      </c>
      <c r="K47" s="107">
        <v>17202</v>
      </c>
      <c r="L47" s="110">
        <f t="shared" si="9"/>
        <v>1098.0221999999994</v>
      </c>
      <c r="M47" s="47"/>
      <c r="N47" s="47"/>
      <c r="O47" s="47"/>
      <c r="P47" s="47"/>
      <c r="Q47" s="48"/>
      <c r="R47" s="62"/>
      <c r="S47" s="62"/>
      <c r="T47" s="57"/>
      <c r="U47" s="58"/>
      <c r="V47" s="63"/>
      <c r="W47" s="64"/>
      <c r="X47" s="7"/>
      <c r="Y47" s="7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1:44" s="9" customFormat="1" ht="24" customHeight="1">
      <c r="A48" s="82">
        <v>30</v>
      </c>
      <c r="B48" s="87" t="s">
        <v>116</v>
      </c>
      <c r="C48" s="105"/>
      <c r="D48" s="106"/>
      <c r="E48" s="86"/>
      <c r="F48" s="86"/>
      <c r="G48" s="86"/>
      <c r="H48" s="84">
        <v>0.2</v>
      </c>
      <c r="I48" s="85"/>
      <c r="J48" s="86">
        <v>3436.29</v>
      </c>
      <c r="K48" s="107">
        <v>3230.1</v>
      </c>
      <c r="L48" s="111">
        <f t="shared" si="9"/>
        <v>206.19000000000005</v>
      </c>
      <c r="M48" s="47"/>
      <c r="N48" s="47"/>
      <c r="O48" s="47"/>
      <c r="P48" s="47"/>
      <c r="Q48" s="48"/>
      <c r="R48" s="62"/>
      <c r="S48" s="62"/>
      <c r="T48" s="57"/>
      <c r="U48" s="58"/>
      <c r="V48" s="63"/>
      <c r="W48" s="64"/>
      <c r="X48" s="7"/>
      <c r="Y48" s="7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s="9" customFormat="1" ht="39" customHeight="1">
      <c r="A49" s="82">
        <v>31</v>
      </c>
      <c r="B49" s="104" t="s">
        <v>117</v>
      </c>
      <c r="C49" s="105"/>
      <c r="D49" s="106"/>
      <c r="E49" s="86"/>
      <c r="F49" s="86"/>
      <c r="G49" s="86"/>
      <c r="H49" s="108">
        <v>0.48799999999999999</v>
      </c>
      <c r="I49" s="85"/>
      <c r="J49" s="86">
        <v>5940.11</v>
      </c>
      <c r="K49" s="107">
        <v>5583.7</v>
      </c>
      <c r="L49" s="110">
        <f t="shared" si="9"/>
        <v>356.40999999999985</v>
      </c>
      <c r="M49" s="47"/>
      <c r="N49" s="47"/>
      <c r="O49" s="47"/>
      <c r="P49" s="47"/>
      <c r="Q49" s="48"/>
      <c r="R49" s="62"/>
      <c r="S49" s="62"/>
      <c r="T49" s="57"/>
      <c r="U49" s="58"/>
      <c r="V49" s="63"/>
      <c r="W49" s="64"/>
      <c r="X49" s="7"/>
      <c r="Y49" s="7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</row>
    <row r="50" spans="1:44" s="9" customFormat="1" ht="61.5" customHeight="1">
      <c r="A50" s="82">
        <v>32</v>
      </c>
      <c r="B50" s="104" t="s">
        <v>146</v>
      </c>
      <c r="C50" s="105"/>
      <c r="D50" s="106"/>
      <c r="E50" s="86"/>
      <c r="F50" s="86"/>
      <c r="G50" s="86"/>
      <c r="H50" s="108">
        <v>0.222</v>
      </c>
      <c r="I50" s="85"/>
      <c r="J50" s="86">
        <v>3412.98</v>
      </c>
      <c r="K50" s="107">
        <v>3208.2</v>
      </c>
      <c r="L50" s="110">
        <f t="shared" si="9"/>
        <v>204.7800000000002</v>
      </c>
      <c r="M50" s="47"/>
      <c r="N50" s="47"/>
      <c r="O50" s="47"/>
      <c r="P50" s="47"/>
      <c r="Q50" s="48"/>
      <c r="R50" s="62"/>
      <c r="S50" s="62"/>
      <c r="T50" s="57"/>
      <c r="U50" s="58"/>
      <c r="V50" s="63"/>
      <c r="W50" s="64"/>
      <c r="X50" s="7"/>
      <c r="Y50" s="7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s="9" customFormat="1" ht="24.95" customHeight="1">
      <c r="A51" s="82">
        <v>33</v>
      </c>
      <c r="B51" s="104" t="s">
        <v>118</v>
      </c>
      <c r="C51" s="105"/>
      <c r="D51" s="106"/>
      <c r="E51" s="86" t="s">
        <v>37</v>
      </c>
      <c r="F51" s="86"/>
      <c r="G51" s="86"/>
      <c r="H51" s="108">
        <v>0.27500000000000002</v>
      </c>
      <c r="I51" s="85"/>
      <c r="J51" s="86">
        <v>4478.6641499999996</v>
      </c>
      <c r="K51" s="107">
        <v>4210</v>
      </c>
      <c r="L51" s="110">
        <f>J51-K51</f>
        <v>268.66414999999961</v>
      </c>
      <c r="M51" s="47"/>
      <c r="N51" s="47"/>
      <c r="O51" s="47"/>
      <c r="P51" s="47"/>
      <c r="Q51" s="48"/>
      <c r="R51" s="62"/>
      <c r="S51" s="62"/>
      <c r="T51" s="57"/>
      <c r="U51" s="58"/>
      <c r="V51" s="63"/>
      <c r="W51" s="64"/>
      <c r="X51" s="7"/>
      <c r="Y51" s="7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s="9" customFormat="1" ht="41.25" customHeight="1">
      <c r="A52" s="82">
        <v>34</v>
      </c>
      <c r="B52" s="104" t="s">
        <v>120</v>
      </c>
      <c r="C52" s="105"/>
      <c r="D52" s="106"/>
      <c r="E52" s="86" t="s">
        <v>12</v>
      </c>
      <c r="F52" s="86"/>
      <c r="G52" s="86"/>
      <c r="H52" s="108">
        <v>0.72</v>
      </c>
      <c r="I52" s="85"/>
      <c r="J52" s="86">
        <v>9900</v>
      </c>
      <c r="K52" s="107">
        <f t="shared" ref="K52:K61" si="10">J52*0.94</f>
        <v>9306</v>
      </c>
      <c r="L52" s="110">
        <f t="shared" si="9"/>
        <v>594</v>
      </c>
      <c r="M52" s="47"/>
      <c r="N52" s="47"/>
      <c r="O52" s="47"/>
      <c r="P52" s="47"/>
      <c r="Q52" s="48"/>
      <c r="R52" s="62"/>
      <c r="S52" s="62"/>
      <c r="T52" s="57"/>
      <c r="U52" s="58"/>
      <c r="V52" s="63"/>
      <c r="W52" s="64"/>
      <c r="X52" s="7"/>
      <c r="Y52" s="7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s="9" customFormat="1" ht="39" customHeight="1">
      <c r="A53" s="82">
        <v>35</v>
      </c>
      <c r="B53" s="87" t="s">
        <v>121</v>
      </c>
      <c r="C53" s="105"/>
      <c r="D53" s="106"/>
      <c r="E53" s="86"/>
      <c r="F53" s="86"/>
      <c r="G53" s="86"/>
      <c r="H53" s="84">
        <v>3.641</v>
      </c>
      <c r="I53" s="85"/>
      <c r="J53" s="86">
        <v>69912.282000000007</v>
      </c>
      <c r="K53" s="86">
        <v>65717.600000000006</v>
      </c>
      <c r="L53" s="111">
        <f>J53-K53</f>
        <v>4194.6820000000007</v>
      </c>
      <c r="M53" s="47"/>
      <c r="N53" s="47"/>
      <c r="O53" s="47"/>
      <c r="P53" s="47"/>
      <c r="Q53" s="48"/>
      <c r="R53" s="62"/>
      <c r="S53" s="62"/>
      <c r="T53" s="57"/>
      <c r="U53" s="58"/>
      <c r="V53" s="63"/>
      <c r="W53" s="64"/>
      <c r="X53" s="7"/>
      <c r="Y53" s="7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</row>
    <row r="54" spans="1:44" s="9" customFormat="1" ht="24.75" customHeight="1">
      <c r="A54" s="82">
        <v>36</v>
      </c>
      <c r="B54" s="104" t="s">
        <v>22</v>
      </c>
      <c r="C54" s="105" t="s">
        <v>37</v>
      </c>
      <c r="D54" s="106"/>
      <c r="E54" s="86"/>
      <c r="F54" s="86"/>
      <c r="G54" s="86"/>
      <c r="H54" s="108">
        <v>3</v>
      </c>
      <c r="I54" s="85"/>
      <c r="J54" s="86">
        <v>12164.941419999999</v>
      </c>
      <c r="K54" s="107">
        <v>11435</v>
      </c>
      <c r="L54" s="110">
        <f t="shared" si="9"/>
        <v>729.9414199999992</v>
      </c>
      <c r="M54" s="47"/>
      <c r="N54" s="47"/>
      <c r="O54" s="47"/>
      <c r="P54" s="47"/>
      <c r="Q54" s="48"/>
      <c r="R54" s="62"/>
      <c r="S54" s="62"/>
      <c r="T54" s="57"/>
      <c r="U54" s="58"/>
      <c r="V54" s="63"/>
      <c r="W54" s="64"/>
      <c r="X54" s="7"/>
      <c r="Y54" s="7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s="9" customFormat="1" ht="23.25" customHeight="1">
      <c r="A55" s="82">
        <v>37</v>
      </c>
      <c r="B55" s="104" t="s">
        <v>122</v>
      </c>
      <c r="C55" s="105"/>
      <c r="D55" s="106"/>
      <c r="E55" s="86"/>
      <c r="F55" s="86"/>
      <c r="G55" s="86"/>
      <c r="H55" s="108">
        <v>0.9</v>
      </c>
      <c r="I55" s="85"/>
      <c r="J55" s="86">
        <v>12350.15589</v>
      </c>
      <c r="K55" s="107">
        <v>11609.1</v>
      </c>
      <c r="L55" s="110">
        <f>J55-K55</f>
        <v>741.05588999999964</v>
      </c>
      <c r="M55" s="47"/>
      <c r="N55" s="47"/>
      <c r="O55" s="47"/>
      <c r="P55" s="47"/>
      <c r="Q55" s="48"/>
      <c r="R55" s="62"/>
      <c r="S55" s="62"/>
      <c r="T55" s="57"/>
      <c r="U55" s="58"/>
      <c r="V55" s="63"/>
      <c r="W55" s="64"/>
      <c r="X55" s="7"/>
      <c r="Y55" s="7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</row>
    <row r="56" spans="1:44" s="9" customFormat="1" ht="41.25" customHeight="1">
      <c r="A56" s="82">
        <v>38</v>
      </c>
      <c r="B56" s="104" t="s">
        <v>235</v>
      </c>
      <c r="C56" s="105"/>
      <c r="D56" s="106"/>
      <c r="E56" s="86"/>
      <c r="F56" s="86"/>
      <c r="G56" s="86"/>
      <c r="H56" s="108">
        <v>0.25</v>
      </c>
      <c r="I56" s="85"/>
      <c r="J56" s="86">
        <v>2975.2876500000002</v>
      </c>
      <c r="K56" s="107">
        <v>2796.8</v>
      </c>
      <c r="L56" s="110">
        <f t="shared" si="9"/>
        <v>178.48765000000003</v>
      </c>
      <c r="M56" s="47"/>
      <c r="N56" s="47"/>
      <c r="O56" s="47"/>
      <c r="P56" s="47"/>
      <c r="Q56" s="48"/>
      <c r="R56" s="62"/>
      <c r="S56" s="62"/>
      <c r="T56" s="57"/>
      <c r="U56" s="58"/>
      <c r="V56" s="63"/>
      <c r="W56" s="64"/>
      <c r="X56" s="7"/>
      <c r="Y56" s="7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</row>
    <row r="57" spans="1:44" s="9" customFormat="1" ht="24.95" customHeight="1">
      <c r="A57" s="82">
        <v>39</v>
      </c>
      <c r="B57" s="104" t="s">
        <v>182</v>
      </c>
      <c r="C57" s="105"/>
      <c r="D57" s="106"/>
      <c r="E57" s="86"/>
      <c r="F57" s="86"/>
      <c r="G57" s="86"/>
      <c r="H57" s="108">
        <v>0.2</v>
      </c>
      <c r="I57" s="85"/>
      <c r="J57" s="86">
        <v>4371.42857</v>
      </c>
      <c r="K57" s="107">
        <v>4109.1000000000004</v>
      </c>
      <c r="L57" s="110">
        <f t="shared" si="9"/>
        <v>262.32856999999967</v>
      </c>
      <c r="M57" s="47"/>
      <c r="N57" s="47"/>
      <c r="O57" s="47"/>
      <c r="P57" s="47"/>
      <c r="Q57" s="48"/>
      <c r="R57" s="62"/>
      <c r="S57" s="62"/>
      <c r="T57" s="57"/>
      <c r="U57" s="58"/>
      <c r="V57" s="63"/>
      <c r="W57" s="64"/>
      <c r="X57" s="7"/>
      <c r="Y57" s="7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1:44" s="9" customFormat="1" ht="24.95" customHeight="1">
      <c r="A58" s="82">
        <v>40</v>
      </c>
      <c r="B58" s="87" t="s">
        <v>123</v>
      </c>
      <c r="C58" s="105"/>
      <c r="D58" s="106"/>
      <c r="E58" s="86"/>
      <c r="F58" s="86"/>
      <c r="G58" s="86"/>
      <c r="H58" s="84">
        <v>0.86</v>
      </c>
      <c r="I58" s="85"/>
      <c r="J58" s="86">
        <v>13959.39</v>
      </c>
      <c r="K58" s="107">
        <v>13121.8</v>
      </c>
      <c r="L58" s="111">
        <f t="shared" si="9"/>
        <v>837.59000000000015</v>
      </c>
      <c r="M58" s="47"/>
      <c r="N58" s="47"/>
      <c r="O58" s="47"/>
      <c r="P58" s="47"/>
      <c r="Q58" s="48"/>
      <c r="R58" s="62"/>
      <c r="S58" s="62"/>
      <c r="T58" s="57"/>
      <c r="U58" s="58"/>
      <c r="V58" s="63"/>
      <c r="W58" s="64"/>
      <c r="X58" s="7"/>
      <c r="Y58" s="7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</row>
    <row r="59" spans="1:44" s="9" customFormat="1" ht="24.95" customHeight="1">
      <c r="A59" s="82">
        <v>41</v>
      </c>
      <c r="B59" s="87" t="s">
        <v>181</v>
      </c>
      <c r="C59" s="105"/>
      <c r="D59" s="106"/>
      <c r="E59" s="86"/>
      <c r="F59" s="86"/>
      <c r="G59" s="86"/>
      <c r="H59" s="84">
        <v>0.35799999999999998</v>
      </c>
      <c r="I59" s="85"/>
      <c r="J59" s="86">
        <v>5050</v>
      </c>
      <c r="K59" s="107">
        <f t="shared" si="10"/>
        <v>4747</v>
      </c>
      <c r="L59" s="111">
        <f t="shared" si="9"/>
        <v>303</v>
      </c>
      <c r="M59" s="47"/>
      <c r="N59" s="47"/>
      <c r="O59" s="47"/>
      <c r="P59" s="47"/>
      <c r="Q59" s="48"/>
      <c r="R59" s="62"/>
      <c r="S59" s="62"/>
      <c r="T59" s="57"/>
      <c r="U59" s="58"/>
      <c r="V59" s="63"/>
      <c r="W59" s="64"/>
      <c r="X59" s="7"/>
      <c r="Y59" s="7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</row>
    <row r="60" spans="1:44" s="9" customFormat="1" ht="24.95" customHeight="1">
      <c r="A60" s="82">
        <v>42</v>
      </c>
      <c r="B60" s="104" t="s">
        <v>183</v>
      </c>
      <c r="C60" s="105"/>
      <c r="D60" s="106"/>
      <c r="E60" s="86"/>
      <c r="F60" s="86"/>
      <c r="G60" s="86"/>
      <c r="H60" s="84">
        <v>0.24399999999999999</v>
      </c>
      <c r="I60" s="85"/>
      <c r="J60" s="86">
        <v>4747.8</v>
      </c>
      <c r="K60" s="107">
        <v>4462.8999999999996</v>
      </c>
      <c r="L60" s="111">
        <f t="shared" si="9"/>
        <v>284.90000000000055</v>
      </c>
      <c r="M60" s="47"/>
      <c r="N60" s="47"/>
      <c r="O60" s="47"/>
      <c r="P60" s="47"/>
      <c r="Q60" s="48"/>
      <c r="R60" s="62"/>
      <c r="S60" s="62"/>
      <c r="T60" s="57"/>
      <c r="U60" s="58"/>
      <c r="V60" s="63"/>
      <c r="W60" s="64"/>
      <c r="X60" s="7"/>
      <c r="Y60" s="7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</row>
    <row r="61" spans="1:44" s="9" customFormat="1" ht="24.95" customHeight="1">
      <c r="A61" s="82">
        <v>43</v>
      </c>
      <c r="B61" s="104" t="s">
        <v>184</v>
      </c>
      <c r="C61" s="105"/>
      <c r="D61" s="106"/>
      <c r="E61" s="86"/>
      <c r="F61" s="86"/>
      <c r="G61" s="86"/>
      <c r="H61" s="84">
        <v>0.3</v>
      </c>
      <c r="I61" s="85"/>
      <c r="J61" s="86">
        <v>6000</v>
      </c>
      <c r="K61" s="107">
        <f t="shared" si="10"/>
        <v>5640</v>
      </c>
      <c r="L61" s="111">
        <f t="shared" si="9"/>
        <v>360</v>
      </c>
      <c r="M61" s="47"/>
      <c r="N61" s="47"/>
      <c r="O61" s="47"/>
      <c r="P61" s="47"/>
      <c r="Q61" s="48"/>
      <c r="R61" s="62"/>
      <c r="S61" s="62"/>
      <c r="T61" s="57"/>
      <c r="U61" s="58"/>
      <c r="V61" s="63"/>
      <c r="W61" s="64"/>
      <c r="X61" s="7"/>
      <c r="Y61" s="7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</row>
    <row r="62" spans="1:44" s="9" customFormat="1" ht="39" customHeight="1">
      <c r="A62" s="82">
        <v>44</v>
      </c>
      <c r="B62" s="104" t="s">
        <v>185</v>
      </c>
      <c r="C62" s="105"/>
      <c r="D62" s="106"/>
      <c r="E62" s="86"/>
      <c r="F62" s="86"/>
      <c r="G62" s="86"/>
      <c r="H62" s="84">
        <f>0.724+0.65</f>
        <v>1.3740000000000001</v>
      </c>
      <c r="I62" s="85"/>
      <c r="J62" s="86">
        <f>14624.08111+12642.4</f>
        <v>27266.481110000001</v>
      </c>
      <c r="K62" s="107">
        <v>25630.6</v>
      </c>
      <c r="L62" s="111">
        <f>J62-K62+0.04924</f>
        <v>1635.9303500000021</v>
      </c>
      <c r="M62" s="47"/>
      <c r="N62" s="47"/>
      <c r="O62" s="47"/>
      <c r="P62" s="47"/>
      <c r="Q62" s="48"/>
      <c r="R62" s="62"/>
      <c r="S62" s="62"/>
      <c r="T62" s="57"/>
      <c r="U62" s="58"/>
      <c r="V62" s="63"/>
      <c r="W62" s="64"/>
      <c r="X62" s="7"/>
      <c r="Y62" s="7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</row>
    <row r="63" spans="1:44" s="9" customFormat="1" ht="24.75" customHeight="1">
      <c r="A63" s="82">
        <v>45</v>
      </c>
      <c r="B63" s="104" t="s">
        <v>186</v>
      </c>
      <c r="C63" s="105"/>
      <c r="D63" s="106"/>
      <c r="E63" s="86"/>
      <c r="F63" s="86"/>
      <c r="G63" s="86"/>
      <c r="H63" s="84">
        <v>0.12</v>
      </c>
      <c r="I63" s="85"/>
      <c r="J63" s="86">
        <v>1685.6</v>
      </c>
      <c r="K63" s="107">
        <v>1584.5</v>
      </c>
      <c r="L63" s="111">
        <f t="shared" ref="L63" si="11">J63-K63</f>
        <v>101.09999999999991</v>
      </c>
      <c r="M63" s="47"/>
      <c r="N63" s="47"/>
      <c r="O63" s="47"/>
      <c r="P63" s="47"/>
      <c r="Q63" s="48"/>
      <c r="R63" s="62"/>
      <c r="S63" s="62"/>
      <c r="T63" s="57"/>
      <c r="U63" s="58"/>
      <c r="V63" s="63"/>
      <c r="W63" s="64"/>
      <c r="X63" s="7"/>
      <c r="Y63" s="7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</row>
    <row r="64" spans="1:44" s="9" customFormat="1" ht="28.5" customHeight="1">
      <c r="A64" s="82"/>
      <c r="B64" s="83" t="s">
        <v>27</v>
      </c>
      <c r="C64" s="84">
        <f>SUM(C65:C73)</f>
        <v>21.787000000000003</v>
      </c>
      <c r="D64" s="85"/>
      <c r="E64" s="86">
        <f>SUM(E65:E73)</f>
        <v>182154.22717999999</v>
      </c>
      <c r="F64" s="86">
        <f t="shared" ref="F64:G64" si="12">SUM(F65:F73)</f>
        <v>171224.99999919994</v>
      </c>
      <c r="G64" s="86">
        <f t="shared" si="12"/>
        <v>10929.227180800019</v>
      </c>
      <c r="H64" s="84">
        <f>SUM(H74:H80)</f>
        <v>1.2830000000000001</v>
      </c>
      <c r="I64" s="86"/>
      <c r="J64" s="86">
        <f>SUM(J74:J80)</f>
        <v>34083.753140000001</v>
      </c>
      <c r="K64" s="72">
        <f>SUM(K74:K80)</f>
        <v>32038.727951599998</v>
      </c>
      <c r="L64" s="73">
        <f>SUM(L74:L80)</f>
        <v>2045.0651884000015</v>
      </c>
      <c r="M64" s="47"/>
      <c r="N64" s="47"/>
      <c r="O64" s="47"/>
      <c r="P64" s="47"/>
      <c r="Q64" s="48"/>
      <c r="R64" s="62"/>
      <c r="S64" s="62"/>
      <c r="T64" s="57"/>
      <c r="U64" s="58"/>
      <c r="V64" s="63"/>
      <c r="W64" s="64"/>
      <c r="X64" s="7"/>
      <c r="Y64" s="7"/>
      <c r="Z64" s="5" t="s">
        <v>12</v>
      </c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s="9" customFormat="1" ht="30" customHeight="1">
      <c r="A65" s="93">
        <v>46</v>
      </c>
      <c r="B65" s="94" t="s">
        <v>103</v>
      </c>
      <c r="C65" s="84">
        <v>10.36</v>
      </c>
      <c r="D65" s="85"/>
      <c r="E65" s="86">
        <v>25000</v>
      </c>
      <c r="F65" s="86">
        <f>E65*0.94</f>
        <v>23500</v>
      </c>
      <c r="G65" s="86">
        <f>E65-F65</f>
        <v>1500</v>
      </c>
      <c r="H65" s="85"/>
      <c r="I65" s="85"/>
      <c r="J65" s="85"/>
      <c r="K65" s="60"/>
      <c r="L65" s="61"/>
      <c r="M65" s="47"/>
      <c r="N65" s="47"/>
      <c r="O65" s="47"/>
      <c r="P65" s="47"/>
      <c r="Q65" s="48"/>
      <c r="R65" s="112"/>
      <c r="S65" s="112"/>
      <c r="T65" s="113"/>
      <c r="U65" s="114"/>
      <c r="V65" s="115"/>
      <c r="W65" s="64"/>
      <c r="X65" s="7"/>
      <c r="Y65" s="7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s="9" customFormat="1" ht="30" customHeight="1">
      <c r="A66" s="93">
        <v>47</v>
      </c>
      <c r="B66" s="87" t="s">
        <v>28</v>
      </c>
      <c r="C66" s="84">
        <v>3.1190000000000002</v>
      </c>
      <c r="D66" s="85"/>
      <c r="E66" s="86">
        <v>45706.320879999999</v>
      </c>
      <c r="F66" s="86">
        <f>E66*0.94</f>
        <v>42963.941627199994</v>
      </c>
      <c r="G66" s="86">
        <f>E66-F66</f>
        <v>2742.3792528000049</v>
      </c>
      <c r="H66" s="85"/>
      <c r="I66" s="85"/>
      <c r="J66" s="85"/>
      <c r="K66" s="60"/>
      <c r="L66" s="61"/>
      <c r="M66" s="47"/>
      <c r="N66" s="47"/>
      <c r="O66" s="47"/>
      <c r="P66" s="47"/>
      <c r="Q66" s="48"/>
      <c r="R66" s="112"/>
      <c r="S66" s="112"/>
      <c r="T66" s="113"/>
      <c r="U66" s="114"/>
      <c r="V66" s="115"/>
      <c r="W66" s="64"/>
      <c r="X66" s="7" t="s">
        <v>37</v>
      </c>
      <c r="Y66" s="7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s="9" customFormat="1" ht="30" customHeight="1">
      <c r="A67" s="93">
        <v>48</v>
      </c>
      <c r="B67" s="87" t="s">
        <v>29</v>
      </c>
      <c r="C67" s="84">
        <v>7.4240000000000004</v>
      </c>
      <c r="D67" s="85"/>
      <c r="E67" s="86">
        <v>103102.0194</v>
      </c>
      <c r="F67" s="86">
        <f>E67*0.94</f>
        <v>96915.898235999994</v>
      </c>
      <c r="G67" s="86">
        <f>E67-F67</f>
        <v>6186.121164000011</v>
      </c>
      <c r="H67" s="85"/>
      <c r="I67" s="85"/>
      <c r="J67" s="85"/>
      <c r="K67" s="60"/>
      <c r="L67" s="61"/>
      <c r="M67" s="47"/>
      <c r="N67" s="47"/>
      <c r="O67" s="47"/>
      <c r="P67" s="47"/>
      <c r="Q67" s="48"/>
      <c r="R67" s="112"/>
      <c r="S67" s="112"/>
      <c r="T67" s="113"/>
      <c r="U67" s="114"/>
      <c r="V67" s="115"/>
      <c r="W67" s="64"/>
      <c r="X67" s="7"/>
      <c r="Y67" s="7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s="9" customFormat="1" ht="38.25" customHeight="1">
      <c r="A68" s="93">
        <v>49</v>
      </c>
      <c r="B68" s="87" t="s">
        <v>30</v>
      </c>
      <c r="C68" s="84">
        <v>0.2</v>
      </c>
      <c r="D68" s="85"/>
      <c r="E68" s="86">
        <v>2624.23434</v>
      </c>
      <c r="F68" s="86">
        <f>E68*0.94</f>
        <v>2466.7802795999996</v>
      </c>
      <c r="G68" s="86">
        <f>E68-F68-0.01</f>
        <v>157.44406040000035</v>
      </c>
      <c r="H68" s="85"/>
      <c r="I68" s="85"/>
      <c r="J68" s="85"/>
      <c r="K68" s="60"/>
      <c r="L68" s="61"/>
      <c r="M68" s="47"/>
      <c r="N68" s="47"/>
      <c r="O68" s="47"/>
      <c r="P68" s="47"/>
      <c r="Q68" s="48"/>
      <c r="R68" s="112"/>
      <c r="S68" s="112"/>
      <c r="T68" s="113"/>
      <c r="U68" s="114"/>
      <c r="V68" s="115"/>
      <c r="W68" s="64"/>
      <c r="X68" s="7"/>
      <c r="Y68" s="7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s="9" customFormat="1" ht="39" customHeight="1">
      <c r="A69" s="93">
        <v>50</v>
      </c>
      <c r="B69" s="87" t="s">
        <v>113</v>
      </c>
      <c r="C69" s="84">
        <v>0.21299999999999999</v>
      </c>
      <c r="D69" s="116"/>
      <c r="E69" s="86">
        <v>1317.76241</v>
      </c>
      <c r="F69" s="86">
        <f t="shared" ref="F69:F71" si="13">E69*0.94</f>
        <v>1238.6966654</v>
      </c>
      <c r="G69" s="86">
        <f t="shared" ref="G69:G73" si="14">E69-F69</f>
        <v>79.065744600000016</v>
      </c>
      <c r="H69" s="85"/>
      <c r="I69" s="85"/>
      <c r="J69" s="85"/>
      <c r="K69" s="60"/>
      <c r="L69" s="61"/>
      <c r="M69" s="47"/>
      <c r="N69" s="47"/>
      <c r="O69" s="47"/>
      <c r="P69" s="47"/>
      <c r="Q69" s="48"/>
      <c r="R69" s="112"/>
      <c r="S69" s="112"/>
      <c r="T69" s="113"/>
      <c r="U69" s="114"/>
      <c r="V69" s="115"/>
      <c r="W69" s="64"/>
      <c r="X69" s="7"/>
      <c r="Y69" s="7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s="9" customFormat="1" ht="42.75" customHeight="1">
      <c r="A70" s="93">
        <v>51</v>
      </c>
      <c r="B70" s="87" t="s">
        <v>114</v>
      </c>
      <c r="C70" s="84">
        <v>0.251</v>
      </c>
      <c r="D70" s="116"/>
      <c r="E70" s="86">
        <v>2087.3660799999998</v>
      </c>
      <c r="F70" s="86">
        <f>E70*0.94</f>
        <v>1962.1241151999998</v>
      </c>
      <c r="G70" s="86">
        <f>E70-F70+0.01</f>
        <v>125.25196480000001</v>
      </c>
      <c r="H70" s="85"/>
      <c r="I70" s="85"/>
      <c r="J70" s="85"/>
      <c r="K70" s="60"/>
      <c r="L70" s="61"/>
      <c r="M70" s="47"/>
      <c r="N70" s="47"/>
      <c r="O70" s="47"/>
      <c r="P70" s="47"/>
      <c r="Q70" s="48"/>
      <c r="R70" s="112"/>
      <c r="S70" s="112"/>
      <c r="T70" s="113"/>
      <c r="U70" s="114"/>
      <c r="V70" s="115"/>
      <c r="W70" s="64"/>
      <c r="X70" s="7"/>
      <c r="Y70" s="7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s="9" customFormat="1" ht="30" customHeight="1">
      <c r="A71" s="93">
        <v>52</v>
      </c>
      <c r="B71" s="87" t="s">
        <v>119</v>
      </c>
      <c r="C71" s="84">
        <v>0.1</v>
      </c>
      <c r="D71" s="89"/>
      <c r="E71" s="86">
        <v>1012.9877</v>
      </c>
      <c r="F71" s="86">
        <f t="shared" si="13"/>
        <v>952.208438</v>
      </c>
      <c r="G71" s="86">
        <f t="shared" si="14"/>
        <v>60.779262000000017</v>
      </c>
      <c r="H71" s="85"/>
      <c r="I71" s="85"/>
      <c r="J71" s="85"/>
      <c r="K71" s="60"/>
      <c r="L71" s="61"/>
      <c r="M71" s="47"/>
      <c r="N71" s="47"/>
      <c r="O71" s="47"/>
      <c r="P71" s="47"/>
      <c r="Q71" s="48"/>
      <c r="R71" s="112"/>
      <c r="S71" s="112"/>
      <c r="T71" s="113"/>
      <c r="U71" s="114"/>
      <c r="V71" s="115"/>
      <c r="W71" s="64"/>
      <c r="X71" s="7"/>
      <c r="Y71" s="7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s="9" customFormat="1" ht="30" customHeight="1">
      <c r="A72" s="93">
        <v>53</v>
      </c>
      <c r="B72" s="87" t="s">
        <v>124</v>
      </c>
      <c r="C72" s="84">
        <v>0.02</v>
      </c>
      <c r="D72" s="89"/>
      <c r="E72" s="86">
        <v>226.09461999999999</v>
      </c>
      <c r="F72" s="86">
        <f>E72*0.94+0.02645</f>
        <v>212.55539279999999</v>
      </c>
      <c r="G72" s="86">
        <f t="shared" si="14"/>
        <v>13.539227199999999</v>
      </c>
      <c r="H72" s="85"/>
      <c r="I72" s="85"/>
      <c r="J72" s="85"/>
      <c r="K72" s="60"/>
      <c r="L72" s="61"/>
      <c r="M72" s="47"/>
      <c r="N72" s="47"/>
      <c r="O72" s="47"/>
      <c r="P72" s="47"/>
      <c r="Q72" s="48"/>
      <c r="R72" s="112"/>
      <c r="S72" s="112"/>
      <c r="T72" s="113"/>
      <c r="U72" s="114"/>
      <c r="V72" s="115"/>
      <c r="W72" s="64"/>
      <c r="X72" s="7"/>
      <c r="Y72" s="7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s="9" customFormat="1" ht="30" customHeight="1">
      <c r="A73" s="93">
        <v>54</v>
      </c>
      <c r="B73" s="87" t="s">
        <v>125</v>
      </c>
      <c r="C73" s="68">
        <v>0.1</v>
      </c>
      <c r="D73" s="117"/>
      <c r="E73" s="86">
        <v>1077.44175</v>
      </c>
      <c r="F73" s="86">
        <f>E73*0.94</f>
        <v>1012.7952449999999</v>
      </c>
      <c r="G73" s="86">
        <f t="shared" si="14"/>
        <v>64.646505000000047</v>
      </c>
      <c r="H73" s="60"/>
      <c r="I73" s="60"/>
      <c r="J73" s="60"/>
      <c r="K73" s="60"/>
      <c r="L73" s="61"/>
      <c r="M73" s="47"/>
      <c r="N73" s="47"/>
      <c r="O73" s="47"/>
      <c r="P73" s="47"/>
      <c r="Q73" s="48"/>
      <c r="R73" s="112"/>
      <c r="S73" s="112"/>
      <c r="T73" s="113"/>
      <c r="U73" s="114"/>
      <c r="V73" s="115"/>
      <c r="W73" s="64"/>
      <c r="X73" s="7" t="s">
        <v>19</v>
      </c>
      <c r="Y73" s="7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s="9" customFormat="1" ht="30" customHeight="1">
      <c r="A74" s="93">
        <v>55</v>
      </c>
      <c r="B74" s="87" t="s">
        <v>126</v>
      </c>
      <c r="C74" s="68"/>
      <c r="D74" s="118"/>
      <c r="E74" s="119"/>
      <c r="F74" s="86"/>
      <c r="G74" s="86"/>
      <c r="H74" s="120">
        <v>0.03</v>
      </c>
      <c r="I74" s="60"/>
      <c r="J74" s="86">
        <v>469.04</v>
      </c>
      <c r="K74" s="107">
        <f t="shared" ref="K74:K80" si="15">J74*0.94</f>
        <v>440.89760000000001</v>
      </c>
      <c r="L74" s="111">
        <f t="shared" ref="L74:L80" si="16">J74-K74</f>
        <v>28.142400000000009</v>
      </c>
      <c r="M74" s="47"/>
      <c r="N74" s="47"/>
      <c r="O74" s="47"/>
      <c r="P74" s="47"/>
      <c r="Q74" s="48"/>
      <c r="R74" s="112"/>
      <c r="S74" s="112"/>
      <c r="T74" s="113"/>
      <c r="U74" s="114"/>
      <c r="V74" s="115"/>
      <c r="W74" s="64"/>
      <c r="X74" s="7"/>
      <c r="Y74" s="7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s="9" customFormat="1" ht="30" customHeight="1">
      <c r="A75" s="93">
        <v>56</v>
      </c>
      <c r="B75" s="87" t="s">
        <v>127</v>
      </c>
      <c r="C75" s="68"/>
      <c r="D75" s="118"/>
      <c r="E75" s="72"/>
      <c r="F75" s="86"/>
      <c r="G75" s="86"/>
      <c r="H75" s="120">
        <v>7.1999999999999995E-2</v>
      </c>
      <c r="I75" s="60"/>
      <c r="J75" s="86">
        <v>1164.6881699999999</v>
      </c>
      <c r="K75" s="107">
        <f t="shared" si="15"/>
        <v>1094.8068797999999</v>
      </c>
      <c r="L75" s="111">
        <f t="shared" si="16"/>
        <v>69.881290199999967</v>
      </c>
      <c r="M75" s="47"/>
      <c r="N75" s="47"/>
      <c r="O75" s="47"/>
      <c r="P75" s="47"/>
      <c r="Q75" s="48"/>
      <c r="R75" s="112"/>
      <c r="S75" s="112"/>
      <c r="T75" s="113"/>
      <c r="U75" s="114"/>
      <c r="V75" s="115"/>
      <c r="W75" s="64"/>
      <c r="X75" s="7"/>
      <c r="Y75" s="7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s="9" customFormat="1" ht="30" customHeight="1">
      <c r="A76" s="93">
        <v>57</v>
      </c>
      <c r="B76" s="87" t="s">
        <v>128</v>
      </c>
      <c r="C76" s="68"/>
      <c r="D76" s="118"/>
      <c r="E76" s="72"/>
      <c r="F76" s="86"/>
      <c r="G76" s="86"/>
      <c r="H76" s="120">
        <v>6.2E-2</v>
      </c>
      <c r="I76" s="60"/>
      <c r="J76" s="86">
        <v>1085.7221</v>
      </c>
      <c r="K76" s="107">
        <f t="shared" si="15"/>
        <v>1020.578774</v>
      </c>
      <c r="L76" s="111">
        <f t="shared" si="16"/>
        <v>65.143326000000002</v>
      </c>
      <c r="M76" s="47"/>
      <c r="N76" s="47"/>
      <c r="O76" s="47"/>
      <c r="P76" s="47"/>
      <c r="Q76" s="48"/>
      <c r="R76" s="112"/>
      <c r="S76" s="112"/>
      <c r="T76" s="113"/>
      <c r="U76" s="114"/>
      <c r="V76" s="115"/>
      <c r="W76" s="64"/>
      <c r="X76" s="7"/>
      <c r="Y76" s="7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s="9" customFormat="1" ht="44.25" customHeight="1">
      <c r="A77" s="93">
        <v>58</v>
      </c>
      <c r="B77" s="87" t="s">
        <v>129</v>
      </c>
      <c r="C77" s="68"/>
      <c r="D77" s="118"/>
      <c r="E77" s="72"/>
      <c r="F77" s="86"/>
      <c r="G77" s="86"/>
      <c r="H77" s="120">
        <v>0.153</v>
      </c>
      <c r="I77" s="60"/>
      <c r="J77" s="86">
        <v>4870.6861900000004</v>
      </c>
      <c r="K77" s="107">
        <f t="shared" si="15"/>
        <v>4578.4450186000004</v>
      </c>
      <c r="L77" s="111">
        <f>J77-K77+0.01</f>
        <v>292.25117139999998</v>
      </c>
      <c r="M77" s="47"/>
      <c r="N77" s="47"/>
      <c r="O77" s="47"/>
      <c r="P77" s="47"/>
      <c r="Q77" s="48"/>
      <c r="R77" s="112"/>
      <c r="S77" s="112"/>
      <c r="T77" s="113"/>
      <c r="U77" s="114"/>
      <c r="V77" s="115"/>
      <c r="W77" s="64"/>
      <c r="X77" s="7"/>
      <c r="Y77" s="7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s="9" customFormat="1" ht="30" customHeight="1">
      <c r="A78" s="93">
        <v>59</v>
      </c>
      <c r="B78" s="87" t="s">
        <v>130</v>
      </c>
      <c r="C78" s="68"/>
      <c r="D78" s="118"/>
      <c r="E78" s="72"/>
      <c r="F78" s="86"/>
      <c r="G78" s="86"/>
      <c r="H78" s="120">
        <v>0.17299999999999999</v>
      </c>
      <c r="I78" s="60"/>
      <c r="J78" s="86">
        <v>12837.16243</v>
      </c>
      <c r="K78" s="107">
        <f t="shared" si="15"/>
        <v>12066.932684199999</v>
      </c>
      <c r="L78" s="111">
        <f>J78-K78+0.03</f>
        <v>770.25974580000116</v>
      </c>
      <c r="M78" s="47"/>
      <c r="N78" s="47"/>
      <c r="O78" s="47"/>
      <c r="P78" s="47"/>
      <c r="Q78" s="48"/>
      <c r="R78" s="112"/>
      <c r="S78" s="112"/>
      <c r="T78" s="113"/>
      <c r="U78" s="114"/>
      <c r="V78" s="115"/>
      <c r="W78" s="64"/>
      <c r="X78" s="7"/>
      <c r="Y78" s="7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s="9" customFormat="1" ht="30" customHeight="1">
      <c r="A79" s="93">
        <v>60</v>
      </c>
      <c r="B79" s="87" t="s">
        <v>131</v>
      </c>
      <c r="C79" s="68"/>
      <c r="D79" s="118"/>
      <c r="E79" s="72"/>
      <c r="F79" s="86"/>
      <c r="G79" s="86"/>
      <c r="H79" s="120">
        <v>0.67700000000000005</v>
      </c>
      <c r="I79" s="60"/>
      <c r="J79" s="86">
        <v>12331.980380000001</v>
      </c>
      <c r="K79" s="107">
        <f t="shared" si="15"/>
        <v>11592.061557200001</v>
      </c>
      <c r="L79" s="111">
        <f t="shared" si="16"/>
        <v>739.91882280000027</v>
      </c>
      <c r="M79" s="47"/>
      <c r="N79" s="47"/>
      <c r="O79" s="47"/>
      <c r="P79" s="47"/>
      <c r="Q79" s="48"/>
      <c r="R79" s="112"/>
      <c r="S79" s="112"/>
      <c r="T79" s="113"/>
      <c r="U79" s="114"/>
      <c r="V79" s="115"/>
      <c r="W79" s="64"/>
      <c r="X79" s="7"/>
      <c r="Y79" s="7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s="9" customFormat="1" ht="30" customHeight="1">
      <c r="A80" s="82">
        <v>61</v>
      </c>
      <c r="B80" s="87" t="s">
        <v>187</v>
      </c>
      <c r="C80" s="68"/>
      <c r="D80" s="118"/>
      <c r="E80" s="72"/>
      <c r="F80" s="86"/>
      <c r="G80" s="86"/>
      <c r="H80" s="68">
        <v>0.11600000000000001</v>
      </c>
      <c r="I80" s="60"/>
      <c r="J80" s="86">
        <v>1324.47387</v>
      </c>
      <c r="K80" s="86">
        <f t="shared" si="15"/>
        <v>1245.0054378</v>
      </c>
      <c r="L80" s="111">
        <f t="shared" si="16"/>
        <v>79.468432200000052</v>
      </c>
      <c r="M80" s="47"/>
      <c r="N80" s="47"/>
      <c r="O80" s="47"/>
      <c r="P80" s="47"/>
      <c r="Q80" s="48"/>
      <c r="R80" s="112"/>
      <c r="S80" s="112"/>
      <c r="T80" s="113"/>
      <c r="U80" s="114"/>
      <c r="V80" s="115"/>
      <c r="W80" s="64"/>
      <c r="X80" s="7"/>
      <c r="Y80" s="7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s="9" customFormat="1" ht="33" customHeight="1">
      <c r="A81" s="31"/>
      <c r="B81" s="121" t="s">
        <v>166</v>
      </c>
      <c r="C81" s="122">
        <f>C85+C86</f>
        <v>1.3639999999999999</v>
      </c>
      <c r="D81" s="122">
        <f>D83+D84</f>
        <v>30</v>
      </c>
      <c r="E81" s="122">
        <f>E83+E84+E85+E86</f>
        <v>97519.7</v>
      </c>
      <c r="F81" s="122">
        <f>F83+F84+F85+F86</f>
        <v>91668.5</v>
      </c>
      <c r="G81" s="122">
        <f>G83+G84+G85+G86</f>
        <v>5851.1999999999953</v>
      </c>
      <c r="H81" s="123">
        <f>H86</f>
        <v>0</v>
      </c>
      <c r="I81" s="123"/>
      <c r="J81" s="123">
        <f>J86</f>
        <v>0</v>
      </c>
      <c r="K81" s="123">
        <f>K86</f>
        <v>0</v>
      </c>
      <c r="L81" s="124">
        <f>L86</f>
        <v>0</v>
      </c>
      <c r="M81" s="47"/>
      <c r="N81" s="47"/>
      <c r="O81" s="47"/>
      <c r="P81" s="47"/>
      <c r="Q81" s="48"/>
      <c r="R81" s="125" t="e">
        <f>#REF!+#REF!</f>
        <v>#REF!</v>
      </c>
      <c r="S81" s="125"/>
      <c r="T81" s="126" t="e">
        <f>#REF!+#REF!</f>
        <v>#REF!</v>
      </c>
      <c r="U81" s="127" t="e">
        <f>#REF!+#REF!</f>
        <v>#REF!</v>
      </c>
      <c r="V81" s="128" t="e">
        <f>#REF!+#REF!</f>
        <v>#REF!</v>
      </c>
      <c r="W81" s="129">
        <f>F81/E81*100</f>
        <v>93.999981542190966</v>
      </c>
      <c r="X81" s="7"/>
      <c r="Y81" s="7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s="9" customFormat="1" ht="40.5" customHeight="1">
      <c r="A82" s="31"/>
      <c r="B82" s="67" t="s">
        <v>139</v>
      </c>
      <c r="C82" s="122"/>
      <c r="D82" s="122"/>
      <c r="E82" s="122"/>
      <c r="F82" s="122"/>
      <c r="G82" s="123"/>
      <c r="H82" s="123"/>
      <c r="I82" s="123"/>
      <c r="J82" s="123"/>
      <c r="K82" s="123"/>
      <c r="L82" s="124"/>
      <c r="M82" s="47"/>
      <c r="N82" s="47"/>
      <c r="O82" s="47"/>
      <c r="P82" s="47"/>
      <c r="Q82" s="48"/>
      <c r="R82" s="125"/>
      <c r="S82" s="125"/>
      <c r="T82" s="126"/>
      <c r="U82" s="127"/>
      <c r="V82" s="128"/>
      <c r="W82" s="7"/>
      <c r="X82" s="7"/>
      <c r="Y82" s="7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s="9" customFormat="1" ht="42" customHeight="1">
      <c r="A83" s="31">
        <v>62</v>
      </c>
      <c r="B83" s="67" t="s">
        <v>150</v>
      </c>
      <c r="C83" s="130"/>
      <c r="D83" s="72">
        <f>6+12</f>
        <v>18</v>
      </c>
      <c r="E83" s="72">
        <f>11327-1483.7</f>
        <v>9843.2999999999993</v>
      </c>
      <c r="F83" s="72">
        <f>10647.4-1394.7</f>
        <v>9252.6999999999989</v>
      </c>
      <c r="G83" s="72">
        <f>E83-F83</f>
        <v>590.60000000000036</v>
      </c>
      <c r="H83" s="130"/>
      <c r="I83" s="130"/>
      <c r="J83" s="130"/>
      <c r="K83" s="130"/>
      <c r="L83" s="131"/>
      <c r="M83" s="47"/>
      <c r="N83" s="47"/>
      <c r="O83" s="47"/>
      <c r="P83" s="47"/>
      <c r="Q83" s="48"/>
      <c r="R83" s="132"/>
      <c r="S83" s="132"/>
      <c r="T83" s="130"/>
      <c r="U83" s="131"/>
      <c r="V83" s="52"/>
      <c r="W83" s="7"/>
      <c r="X83" s="7"/>
      <c r="Y83" s="7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s="9" customFormat="1" ht="38.25" customHeight="1">
      <c r="A84" s="31">
        <v>63</v>
      </c>
      <c r="B84" s="133" t="s">
        <v>157</v>
      </c>
      <c r="C84" s="130"/>
      <c r="D84" s="72">
        <v>12</v>
      </c>
      <c r="E84" s="72">
        <v>1483.7</v>
      </c>
      <c r="F84" s="72">
        <v>1394.7</v>
      </c>
      <c r="G84" s="72">
        <f>E84-F84</f>
        <v>89</v>
      </c>
      <c r="H84" s="130"/>
      <c r="I84" s="130"/>
      <c r="J84" s="130"/>
      <c r="K84" s="130"/>
      <c r="L84" s="131"/>
      <c r="M84" s="47"/>
      <c r="N84" s="47"/>
      <c r="O84" s="47"/>
      <c r="P84" s="47"/>
      <c r="Q84" s="48"/>
      <c r="R84" s="132"/>
      <c r="S84" s="132"/>
      <c r="T84" s="130"/>
      <c r="U84" s="131"/>
      <c r="V84" s="52"/>
      <c r="W84" s="7"/>
      <c r="X84" s="7"/>
      <c r="Y84" s="7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1:44" s="9" customFormat="1" ht="25.5" customHeight="1">
      <c r="A85" s="31">
        <v>64</v>
      </c>
      <c r="B85" s="133" t="s">
        <v>31</v>
      </c>
      <c r="C85" s="68">
        <v>0.85199999999999998</v>
      </c>
      <c r="D85" s="72"/>
      <c r="E85" s="72">
        <v>76356</v>
      </c>
      <c r="F85" s="72">
        <v>71774.600000000006</v>
      </c>
      <c r="G85" s="72">
        <f>E85-F85</f>
        <v>4581.3999999999942</v>
      </c>
      <c r="H85" s="68"/>
      <c r="I85" s="60"/>
      <c r="J85" s="72"/>
      <c r="K85" s="72"/>
      <c r="L85" s="73"/>
      <c r="M85" s="47"/>
      <c r="N85" s="47"/>
      <c r="O85" s="47"/>
      <c r="P85" s="47"/>
      <c r="Q85" s="48"/>
      <c r="R85" s="132"/>
      <c r="S85" s="132"/>
      <c r="T85" s="130"/>
      <c r="U85" s="131"/>
      <c r="V85" s="52"/>
      <c r="W85" s="7"/>
      <c r="X85" s="7"/>
      <c r="Y85" s="7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</row>
    <row r="86" spans="1:44" s="9" customFormat="1" ht="25.5" customHeight="1">
      <c r="A86" s="31">
        <v>65</v>
      </c>
      <c r="B86" s="133" t="s">
        <v>133</v>
      </c>
      <c r="C86" s="68">
        <v>0.51200000000000001</v>
      </c>
      <c r="D86" s="60"/>
      <c r="E86" s="72">
        <v>9836.7000000000007</v>
      </c>
      <c r="F86" s="72">
        <v>9246.5</v>
      </c>
      <c r="G86" s="73">
        <f>E86-F86</f>
        <v>590.20000000000073</v>
      </c>
      <c r="H86" s="68"/>
      <c r="I86" s="60"/>
      <c r="J86" s="72"/>
      <c r="K86" s="72"/>
      <c r="L86" s="73"/>
      <c r="M86" s="47"/>
      <c r="N86" s="47"/>
      <c r="O86" s="47"/>
      <c r="P86" s="47"/>
      <c r="Q86" s="48"/>
      <c r="R86" s="132"/>
      <c r="S86" s="132"/>
      <c r="T86" s="130"/>
      <c r="U86" s="131"/>
      <c r="V86" s="52"/>
      <c r="W86" s="7"/>
      <c r="X86" s="7"/>
      <c r="Y86" s="7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</row>
    <row r="87" spans="1:44" s="9" customFormat="1" ht="28.5" customHeight="1">
      <c r="A87" s="31"/>
      <c r="B87" s="121" t="s">
        <v>32</v>
      </c>
      <c r="C87" s="60">
        <f>C88+C90+C91+C92</f>
        <v>8.5330000000000013</v>
      </c>
      <c r="D87" s="60"/>
      <c r="E87" s="60">
        <f>E88+E90+E91+E92</f>
        <v>222689.36169999998</v>
      </c>
      <c r="F87" s="60">
        <f t="shared" ref="F87:G87" si="17">F88+F90+F91+F92</f>
        <v>209327.99999999997</v>
      </c>
      <c r="G87" s="60">
        <f t="shared" si="17"/>
        <v>13361.361699999999</v>
      </c>
      <c r="H87" s="134"/>
      <c r="I87" s="134"/>
      <c r="J87" s="134"/>
      <c r="K87" s="134"/>
      <c r="L87" s="135"/>
      <c r="M87" s="47"/>
      <c r="N87" s="47"/>
      <c r="O87" s="47"/>
      <c r="P87" s="47"/>
      <c r="Q87" s="48"/>
      <c r="R87" s="62" t="e">
        <f>#REF!</f>
        <v>#REF!</v>
      </c>
      <c r="S87" s="60"/>
      <c r="T87" s="60" t="e">
        <f>#REF!</f>
        <v>#REF!</v>
      </c>
      <c r="U87" s="60" t="e">
        <f>#REF!</f>
        <v>#REF!</v>
      </c>
      <c r="V87" s="63" t="e">
        <f>#REF!</f>
        <v>#REF!</v>
      </c>
      <c r="W87" s="53"/>
      <c r="X87" s="7"/>
      <c r="Y87" s="7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</row>
    <row r="88" spans="1:44" s="9" customFormat="1" ht="25.5" customHeight="1">
      <c r="A88" s="66">
        <v>66</v>
      </c>
      <c r="B88" s="67" t="s">
        <v>151</v>
      </c>
      <c r="C88" s="68">
        <f>3.41-C92</f>
        <v>2.3890000000000002</v>
      </c>
      <c r="D88" s="60"/>
      <c r="E88" s="72">
        <f>F88+G88</f>
        <v>52684.312299999998</v>
      </c>
      <c r="F88" s="72">
        <v>49523.253559999997</v>
      </c>
      <c r="G88" s="72">
        <v>3161.0587399999999</v>
      </c>
      <c r="H88" s="130"/>
      <c r="I88" s="130"/>
      <c r="J88" s="130"/>
      <c r="K88" s="130"/>
      <c r="L88" s="131"/>
      <c r="M88" s="47"/>
      <c r="N88" s="47"/>
      <c r="O88" s="47"/>
      <c r="P88" s="47"/>
      <c r="Q88" s="48"/>
      <c r="R88" s="132"/>
      <c r="S88" s="132"/>
      <c r="T88" s="130"/>
      <c r="U88" s="131"/>
      <c r="V88" s="52"/>
      <c r="W88" s="7"/>
      <c r="X88" s="7"/>
      <c r="Y88" s="7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</row>
    <row r="89" spans="1:44" s="9" customFormat="1" ht="41.25" customHeight="1">
      <c r="A89" s="66"/>
      <c r="B89" s="136" t="s">
        <v>152</v>
      </c>
      <c r="C89" s="68"/>
      <c r="D89" s="60"/>
      <c r="E89" s="72"/>
      <c r="F89" s="72"/>
      <c r="G89" s="72"/>
      <c r="H89" s="130"/>
      <c r="I89" s="130"/>
      <c r="J89" s="130"/>
      <c r="K89" s="130"/>
      <c r="L89" s="131"/>
      <c r="M89" s="47"/>
      <c r="N89" s="47"/>
      <c r="O89" s="47"/>
      <c r="P89" s="47"/>
      <c r="Q89" s="48"/>
      <c r="R89" s="132"/>
      <c r="S89" s="132"/>
      <c r="T89" s="130"/>
      <c r="U89" s="131"/>
      <c r="V89" s="52"/>
      <c r="W89" s="7"/>
      <c r="X89" s="7"/>
      <c r="Y89" s="137" t="s">
        <v>37</v>
      </c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</row>
    <row r="90" spans="1:44" s="9" customFormat="1" ht="41.25" customHeight="1">
      <c r="A90" s="66">
        <v>67</v>
      </c>
      <c r="B90" s="136" t="s">
        <v>89</v>
      </c>
      <c r="C90" s="68">
        <v>0.85699999999999998</v>
      </c>
      <c r="D90" s="60"/>
      <c r="E90" s="72">
        <f t="shared" ref="E90:E92" si="18">F90+G90</f>
        <v>24550.175019999999</v>
      </c>
      <c r="F90" s="72">
        <v>23077.164519999998</v>
      </c>
      <c r="G90" s="72">
        <v>1473.0105000000001</v>
      </c>
      <c r="H90" s="130"/>
      <c r="I90" s="130"/>
      <c r="J90" s="130"/>
      <c r="K90" s="130"/>
      <c r="L90" s="131"/>
      <c r="M90" s="47"/>
      <c r="N90" s="47"/>
      <c r="O90" s="47"/>
      <c r="P90" s="47"/>
      <c r="Q90" s="48"/>
      <c r="R90" s="132"/>
      <c r="S90" s="132"/>
      <c r="T90" s="130"/>
      <c r="U90" s="131"/>
      <c r="V90" s="52"/>
      <c r="W90" s="7"/>
      <c r="X90" s="7"/>
      <c r="Y90" s="7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</row>
    <row r="91" spans="1:44" s="9" customFormat="1" ht="43.5" customHeight="1">
      <c r="A91" s="66">
        <v>68</v>
      </c>
      <c r="B91" s="136" t="s">
        <v>90</v>
      </c>
      <c r="C91" s="68">
        <v>4.266</v>
      </c>
      <c r="D91" s="60"/>
      <c r="E91" s="72">
        <f t="shared" si="18"/>
        <v>125836.09999999999</v>
      </c>
      <c r="F91" s="72">
        <v>118285.93399999999</v>
      </c>
      <c r="G91" s="72">
        <v>7550.1660000000002</v>
      </c>
      <c r="H91" s="130"/>
      <c r="I91" s="130"/>
      <c r="J91" s="130"/>
      <c r="K91" s="130"/>
      <c r="L91" s="131"/>
      <c r="M91" s="47"/>
      <c r="N91" s="47"/>
      <c r="O91" s="47"/>
      <c r="P91" s="47"/>
      <c r="Q91" s="48"/>
      <c r="R91" s="132"/>
      <c r="S91" s="132"/>
      <c r="T91" s="130"/>
      <c r="U91" s="131"/>
      <c r="V91" s="52"/>
      <c r="W91" s="7"/>
      <c r="X91" s="7"/>
      <c r="Y91" s="7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</row>
    <row r="92" spans="1:44" s="9" customFormat="1" ht="37.5" customHeight="1">
      <c r="A92" s="66">
        <v>69</v>
      </c>
      <c r="B92" s="67" t="s">
        <v>91</v>
      </c>
      <c r="C92" s="68">
        <v>1.0209999999999999</v>
      </c>
      <c r="D92" s="60"/>
      <c r="E92" s="72">
        <f t="shared" si="18"/>
        <v>19618.774379999999</v>
      </c>
      <c r="F92" s="72">
        <v>18441.647919999999</v>
      </c>
      <c r="G92" s="72">
        <v>1177.12646</v>
      </c>
      <c r="H92" s="130"/>
      <c r="I92" s="130"/>
      <c r="J92" s="130"/>
      <c r="K92" s="130"/>
      <c r="L92" s="131"/>
      <c r="M92" s="47"/>
      <c r="N92" s="47"/>
      <c r="O92" s="47"/>
      <c r="P92" s="47"/>
      <c r="Q92" s="48"/>
      <c r="R92" s="132"/>
      <c r="S92" s="132"/>
      <c r="T92" s="130"/>
      <c r="U92" s="131"/>
      <c r="V92" s="52"/>
      <c r="W92" s="7"/>
      <c r="X92" s="7"/>
      <c r="Y92" s="7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</row>
    <row r="93" spans="1:44" s="9" customFormat="1" ht="27" hidden="1" customHeight="1">
      <c r="A93" s="66"/>
      <c r="B93" s="59" t="s">
        <v>33</v>
      </c>
      <c r="C93" s="122"/>
      <c r="D93" s="122"/>
      <c r="E93" s="122"/>
      <c r="F93" s="122"/>
      <c r="G93" s="122"/>
      <c r="H93" s="122"/>
      <c r="I93" s="122"/>
      <c r="J93" s="122"/>
      <c r="K93" s="122"/>
      <c r="L93" s="138"/>
      <c r="M93" s="47"/>
      <c r="N93" s="47"/>
      <c r="O93" s="47"/>
      <c r="P93" s="47"/>
      <c r="Q93" s="48"/>
      <c r="R93" s="132"/>
      <c r="S93" s="132"/>
      <c r="T93" s="130"/>
      <c r="U93" s="131"/>
      <c r="V93" s="52"/>
      <c r="W93" s="7"/>
      <c r="X93" s="7"/>
      <c r="Y93" s="7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</row>
    <row r="94" spans="1:44" s="9" customFormat="1" ht="24.75" hidden="1" customHeight="1">
      <c r="A94" s="66"/>
      <c r="B94" s="67"/>
      <c r="C94" s="70"/>
      <c r="D94" s="69"/>
      <c r="E94" s="69"/>
      <c r="F94" s="69"/>
      <c r="G94" s="69"/>
      <c r="H94" s="69"/>
      <c r="I94" s="69"/>
      <c r="J94" s="69"/>
      <c r="K94" s="69"/>
      <c r="L94" s="76"/>
      <c r="M94" s="47"/>
      <c r="N94" s="47"/>
      <c r="O94" s="47"/>
      <c r="P94" s="47"/>
      <c r="Q94" s="48"/>
      <c r="R94" s="139"/>
      <c r="S94" s="139"/>
      <c r="T94" s="78"/>
      <c r="U94" s="140"/>
      <c r="V94" s="52"/>
      <c r="W94" s="7"/>
      <c r="X94" s="7"/>
      <c r="Y94" s="7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</row>
    <row r="95" spans="1:44" s="9" customFormat="1" ht="27" customHeight="1">
      <c r="A95" s="66"/>
      <c r="B95" s="59" t="s">
        <v>165</v>
      </c>
      <c r="C95" s="122">
        <f>C97</f>
        <v>1.85</v>
      </c>
      <c r="D95" s="60"/>
      <c r="E95" s="60">
        <f>E97</f>
        <v>169668</v>
      </c>
      <c r="F95" s="60">
        <f>F97</f>
        <v>161184.6</v>
      </c>
      <c r="G95" s="60">
        <f>G97</f>
        <v>8483.3999999999942</v>
      </c>
      <c r="H95" s="60">
        <f>H97+H98</f>
        <v>2.0500000000000003</v>
      </c>
      <c r="I95" s="60"/>
      <c r="J95" s="60">
        <f>J97+J98</f>
        <v>169668</v>
      </c>
      <c r="K95" s="60">
        <f>K97+K98</f>
        <v>161184.6</v>
      </c>
      <c r="L95" s="61">
        <f>L97+L98</f>
        <v>8483.3999999999942</v>
      </c>
      <c r="M95" s="47"/>
      <c r="N95" s="47"/>
      <c r="O95" s="47"/>
      <c r="P95" s="47"/>
      <c r="Q95" s="48"/>
      <c r="R95" s="62" t="e">
        <f>#REF!</f>
        <v>#REF!</v>
      </c>
      <c r="S95" s="60"/>
      <c r="T95" s="60" t="e">
        <f>#REF!</f>
        <v>#REF!</v>
      </c>
      <c r="U95" s="60" t="e">
        <f>#REF!</f>
        <v>#REF!</v>
      </c>
      <c r="V95" s="63" t="e">
        <f>#REF!</f>
        <v>#REF!</v>
      </c>
      <c r="W95" s="7"/>
      <c r="X95" s="7"/>
      <c r="Y95" s="7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</row>
    <row r="96" spans="1:44" s="9" customFormat="1" ht="40.5" customHeight="1">
      <c r="A96" s="66"/>
      <c r="B96" s="136" t="s">
        <v>152</v>
      </c>
      <c r="C96" s="141"/>
      <c r="D96" s="141"/>
      <c r="E96" s="141"/>
      <c r="F96" s="141"/>
      <c r="G96" s="141"/>
      <c r="H96" s="141"/>
      <c r="I96" s="69"/>
      <c r="J96" s="69"/>
      <c r="K96" s="69"/>
      <c r="L96" s="76"/>
      <c r="M96" s="47"/>
      <c r="N96" s="47"/>
      <c r="O96" s="47"/>
      <c r="P96" s="47"/>
      <c r="Q96" s="48"/>
      <c r="R96" s="74"/>
      <c r="S96" s="74"/>
      <c r="T96" s="72"/>
      <c r="U96" s="73"/>
      <c r="V96" s="75"/>
      <c r="W96" s="7"/>
      <c r="X96" s="7"/>
      <c r="Y96" s="7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</row>
    <row r="97" spans="1:44" s="9" customFormat="1" ht="44.25" customHeight="1">
      <c r="A97" s="66">
        <v>70</v>
      </c>
      <c r="B97" s="67" t="s">
        <v>34</v>
      </c>
      <c r="C97" s="68">
        <v>1.85</v>
      </c>
      <c r="D97" s="60"/>
      <c r="E97" s="72">
        <f>339336/2</f>
        <v>169668</v>
      </c>
      <c r="F97" s="72">
        <f>161184.6</f>
        <v>161184.6</v>
      </c>
      <c r="G97" s="72">
        <f>E97-F97</f>
        <v>8483.3999999999942</v>
      </c>
      <c r="H97" s="68">
        <f>1.11+0.34</f>
        <v>1.4500000000000002</v>
      </c>
      <c r="I97" s="60"/>
      <c r="J97" s="72">
        <f>169668-5751</f>
        <v>163917</v>
      </c>
      <c r="K97" s="72">
        <f>161184.6-5463.5</f>
        <v>155721.1</v>
      </c>
      <c r="L97" s="73">
        <f>J97-K97</f>
        <v>8195.8999999999942</v>
      </c>
      <c r="M97" s="47"/>
      <c r="N97" s="47"/>
      <c r="O97" s="47"/>
      <c r="P97" s="47"/>
      <c r="Q97" s="48"/>
      <c r="R97" s="74"/>
      <c r="S97" s="74"/>
      <c r="T97" s="72"/>
      <c r="U97" s="73"/>
      <c r="V97" s="75"/>
      <c r="W97" s="221">
        <f>K97/J97*100</f>
        <v>94.999969496757501</v>
      </c>
      <c r="X97" s="7"/>
      <c r="Y97" s="7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</row>
    <row r="98" spans="1:44" s="9" customFormat="1" ht="24.75" customHeight="1">
      <c r="A98" s="66">
        <v>71</v>
      </c>
      <c r="B98" s="67" t="s">
        <v>236</v>
      </c>
      <c r="C98" s="68"/>
      <c r="D98" s="60"/>
      <c r="E98" s="72"/>
      <c r="F98" s="72"/>
      <c r="G98" s="72"/>
      <c r="H98" s="68">
        <v>0.6</v>
      </c>
      <c r="I98" s="60"/>
      <c r="J98" s="72">
        <v>5751</v>
      </c>
      <c r="K98" s="72">
        <v>5463.5</v>
      </c>
      <c r="L98" s="73">
        <f>J98-K98</f>
        <v>287.5</v>
      </c>
      <c r="M98" s="47"/>
      <c r="N98" s="47"/>
      <c r="O98" s="47"/>
      <c r="P98" s="47"/>
      <c r="Q98" s="48"/>
      <c r="R98" s="74"/>
      <c r="S98" s="74"/>
      <c r="T98" s="72"/>
      <c r="U98" s="73"/>
      <c r="V98" s="75"/>
      <c r="W98" s="180">
        <f>K98/J98*100</f>
        <v>95.000869414014957</v>
      </c>
      <c r="X98" s="7"/>
      <c r="Y98" s="7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</row>
    <row r="99" spans="1:44" s="9" customFormat="1" ht="28.5" customHeight="1">
      <c r="A99" s="66"/>
      <c r="B99" s="59" t="s">
        <v>35</v>
      </c>
      <c r="C99" s="60"/>
      <c r="D99" s="60"/>
      <c r="E99" s="60"/>
      <c r="F99" s="60"/>
      <c r="G99" s="60"/>
      <c r="H99" s="60">
        <f>SUM(H101:H108)</f>
        <v>7.9340000000000011</v>
      </c>
      <c r="I99" s="60"/>
      <c r="J99" s="60">
        <f t="shared" ref="J99:L99" si="19">SUM(J101:J108)</f>
        <v>147368.40000000002</v>
      </c>
      <c r="K99" s="60">
        <f t="shared" si="19"/>
        <v>140000</v>
      </c>
      <c r="L99" s="60">
        <f t="shared" si="19"/>
        <v>7368.4000000000005</v>
      </c>
      <c r="M99" s="47"/>
      <c r="N99" s="47"/>
      <c r="O99" s="47"/>
      <c r="P99" s="47"/>
      <c r="Q99" s="48"/>
      <c r="R99" s="142">
        <f>R100</f>
        <v>1.6</v>
      </c>
      <c r="S99" s="143"/>
      <c r="T99" s="60">
        <f>T100</f>
        <v>40000</v>
      </c>
      <c r="U99" s="60">
        <f>U100</f>
        <v>38000</v>
      </c>
      <c r="V99" s="63">
        <f>V100</f>
        <v>2000</v>
      </c>
      <c r="W99" s="144"/>
      <c r="X99" s="7"/>
      <c r="Y99" s="7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</row>
    <row r="100" spans="1:44" s="9" customFormat="1" ht="39" customHeight="1">
      <c r="A100" s="66"/>
      <c r="B100" s="67" t="s">
        <v>139</v>
      </c>
      <c r="C100" s="70"/>
      <c r="D100" s="69"/>
      <c r="E100" s="69"/>
      <c r="F100" s="69"/>
      <c r="G100" s="69"/>
      <c r="H100" s="68"/>
      <c r="I100" s="69"/>
      <c r="J100" s="70"/>
      <c r="K100" s="70"/>
      <c r="L100" s="145"/>
      <c r="M100" s="47"/>
      <c r="N100" s="47"/>
      <c r="O100" s="47"/>
      <c r="P100" s="47"/>
      <c r="Q100" s="48"/>
      <c r="R100" s="146">
        <v>1.6</v>
      </c>
      <c r="S100" s="71"/>
      <c r="T100" s="147">
        <v>40000</v>
      </c>
      <c r="U100" s="148">
        <f>T100*0.95</f>
        <v>38000</v>
      </c>
      <c r="V100" s="149">
        <f>T100-U100</f>
        <v>2000</v>
      </c>
      <c r="W100" s="150" t="e">
        <f>K100/J100*100</f>
        <v>#DIV/0!</v>
      </c>
      <c r="X100" s="7"/>
      <c r="Y100" s="7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</row>
    <row r="101" spans="1:44" s="9" customFormat="1" ht="27" customHeight="1">
      <c r="A101" s="66">
        <v>72</v>
      </c>
      <c r="B101" s="67" t="s">
        <v>195</v>
      </c>
      <c r="C101" s="70"/>
      <c r="D101" s="69"/>
      <c r="E101" s="69"/>
      <c r="F101" s="69"/>
      <c r="G101" s="69"/>
      <c r="H101" s="68">
        <v>1.4330000000000001</v>
      </c>
      <c r="I101" s="69"/>
      <c r="J101" s="70">
        <f>SUM(K101:L101)</f>
        <v>30100.527000000002</v>
      </c>
      <c r="K101" s="70">
        <v>28595.501</v>
      </c>
      <c r="L101" s="145">
        <v>1505.0260000000001</v>
      </c>
      <c r="M101" s="47"/>
      <c r="N101" s="47"/>
      <c r="O101" s="47"/>
      <c r="P101" s="47"/>
      <c r="Q101" s="48"/>
      <c r="R101" s="146"/>
      <c r="S101" s="146"/>
      <c r="T101" s="147"/>
      <c r="U101" s="213"/>
      <c r="V101" s="149"/>
      <c r="W101" s="214"/>
      <c r="X101" s="7"/>
      <c r="Y101" s="7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</row>
    <row r="102" spans="1:44" s="9" customFormat="1" ht="27" customHeight="1">
      <c r="A102" s="66">
        <v>73</v>
      </c>
      <c r="B102" s="67" t="s">
        <v>196</v>
      </c>
      <c r="C102" s="70"/>
      <c r="D102" s="69"/>
      <c r="E102" s="69"/>
      <c r="F102" s="69"/>
      <c r="G102" s="69"/>
      <c r="H102" s="68">
        <v>0.29599999999999999</v>
      </c>
      <c r="I102" s="69"/>
      <c r="J102" s="70">
        <f t="shared" ref="J102:J108" si="20">SUM(K102:L102)</f>
        <v>5741.6759999999995</v>
      </c>
      <c r="K102" s="70">
        <v>5454.5919999999996</v>
      </c>
      <c r="L102" s="145">
        <v>287.084</v>
      </c>
      <c r="M102" s="47"/>
      <c r="N102" s="47"/>
      <c r="O102" s="47"/>
      <c r="P102" s="47"/>
      <c r="Q102" s="48"/>
      <c r="R102" s="146"/>
      <c r="S102" s="146"/>
      <c r="T102" s="147"/>
      <c r="U102" s="213"/>
      <c r="V102" s="149"/>
      <c r="W102" s="214"/>
      <c r="X102" s="7"/>
      <c r="Y102" s="7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</row>
    <row r="103" spans="1:44" s="9" customFormat="1" ht="27" customHeight="1">
      <c r="A103" s="66">
        <v>74</v>
      </c>
      <c r="B103" s="67" t="s">
        <v>197</v>
      </c>
      <c r="C103" s="70"/>
      <c r="D103" s="69"/>
      <c r="E103" s="69"/>
      <c r="F103" s="69"/>
      <c r="G103" s="69"/>
      <c r="H103" s="68">
        <v>1.619</v>
      </c>
      <c r="I103" s="69"/>
      <c r="J103" s="70">
        <f t="shared" si="20"/>
        <v>33138.612999999998</v>
      </c>
      <c r="K103" s="70">
        <v>31481.682000000001</v>
      </c>
      <c r="L103" s="145">
        <v>1656.931</v>
      </c>
      <c r="M103" s="47"/>
      <c r="N103" s="47"/>
      <c r="O103" s="47"/>
      <c r="P103" s="47"/>
      <c r="Q103" s="48"/>
      <c r="R103" s="146"/>
      <c r="S103" s="146"/>
      <c r="T103" s="147"/>
      <c r="U103" s="213"/>
      <c r="V103" s="149"/>
      <c r="W103" s="214"/>
      <c r="X103" s="7"/>
      <c r="Y103" s="7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</row>
    <row r="104" spans="1:44" s="9" customFormat="1" ht="27" customHeight="1">
      <c r="A104" s="66">
        <v>75</v>
      </c>
      <c r="B104" s="67" t="s">
        <v>198</v>
      </c>
      <c r="C104" s="70"/>
      <c r="D104" s="69"/>
      <c r="E104" s="69"/>
      <c r="F104" s="69"/>
      <c r="G104" s="69"/>
      <c r="H104" s="68">
        <v>0.43</v>
      </c>
      <c r="I104" s="69"/>
      <c r="J104" s="70">
        <f t="shared" si="20"/>
        <v>4226.82</v>
      </c>
      <c r="K104" s="70">
        <v>4015.4789999999998</v>
      </c>
      <c r="L104" s="145">
        <v>211.34100000000001</v>
      </c>
      <c r="M104" s="47"/>
      <c r="N104" s="47"/>
      <c r="O104" s="47"/>
      <c r="P104" s="47"/>
      <c r="Q104" s="48"/>
      <c r="R104" s="146"/>
      <c r="S104" s="146"/>
      <c r="T104" s="147"/>
      <c r="U104" s="213"/>
      <c r="V104" s="149"/>
      <c r="W104" s="214"/>
      <c r="X104" s="7"/>
      <c r="Y104" s="7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</row>
    <row r="105" spans="1:44" s="9" customFormat="1" ht="27" customHeight="1">
      <c r="A105" s="66">
        <v>76</v>
      </c>
      <c r="B105" s="67" t="s">
        <v>199</v>
      </c>
      <c r="C105" s="70"/>
      <c r="D105" s="69"/>
      <c r="E105" s="69"/>
      <c r="F105" s="69"/>
      <c r="G105" s="69"/>
      <c r="H105" s="68">
        <v>0.22500000000000001</v>
      </c>
      <c r="I105" s="69"/>
      <c r="J105" s="70">
        <f t="shared" si="20"/>
        <v>4427.4669999999996</v>
      </c>
      <c r="K105" s="70">
        <v>4206.0940000000001</v>
      </c>
      <c r="L105" s="145">
        <v>221.37299999999999</v>
      </c>
      <c r="M105" s="47"/>
      <c r="N105" s="47"/>
      <c r="O105" s="47"/>
      <c r="P105" s="47"/>
      <c r="Q105" s="48"/>
      <c r="R105" s="146"/>
      <c r="S105" s="146"/>
      <c r="T105" s="147"/>
      <c r="U105" s="213"/>
      <c r="V105" s="149"/>
      <c r="W105" s="214"/>
      <c r="X105" s="7"/>
      <c r="Y105" s="7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</row>
    <row r="106" spans="1:44" s="9" customFormat="1" ht="27" customHeight="1">
      <c r="A106" s="66">
        <v>77</v>
      </c>
      <c r="B106" s="67" t="s">
        <v>200</v>
      </c>
      <c r="C106" s="70"/>
      <c r="D106" s="69"/>
      <c r="E106" s="69"/>
      <c r="F106" s="69"/>
      <c r="G106" s="69"/>
      <c r="H106" s="68">
        <v>1.948</v>
      </c>
      <c r="I106" s="69"/>
      <c r="J106" s="70">
        <f t="shared" si="20"/>
        <v>41084.300000000003</v>
      </c>
      <c r="K106" s="70">
        <v>39030.084999999999</v>
      </c>
      <c r="L106" s="145">
        <v>2054.2150000000001</v>
      </c>
      <c r="M106" s="47"/>
      <c r="N106" s="47"/>
      <c r="O106" s="47"/>
      <c r="P106" s="47"/>
      <c r="Q106" s="48"/>
      <c r="R106" s="146"/>
      <c r="S106" s="146"/>
      <c r="T106" s="147"/>
      <c r="U106" s="213"/>
      <c r="V106" s="149"/>
      <c r="W106" s="214"/>
      <c r="X106" s="7"/>
      <c r="Y106" s="7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</row>
    <row r="107" spans="1:44" s="9" customFormat="1" ht="27" customHeight="1">
      <c r="A107" s="66">
        <v>78</v>
      </c>
      <c r="B107" s="67" t="s">
        <v>231</v>
      </c>
      <c r="C107" s="70"/>
      <c r="D107" s="69"/>
      <c r="E107" s="69"/>
      <c r="F107" s="69"/>
      <c r="G107" s="69"/>
      <c r="H107" s="68">
        <v>1.2769999999999999</v>
      </c>
      <c r="I107" s="69"/>
      <c r="J107" s="70">
        <f t="shared" si="20"/>
        <v>16743.789000000001</v>
      </c>
      <c r="K107" s="70">
        <v>15906.6</v>
      </c>
      <c r="L107" s="145">
        <v>837.18899999999996</v>
      </c>
      <c r="M107" s="47"/>
      <c r="N107" s="47"/>
      <c r="O107" s="47"/>
      <c r="P107" s="47"/>
      <c r="Q107" s="48"/>
      <c r="R107" s="146"/>
      <c r="S107" s="146"/>
      <c r="T107" s="147"/>
      <c r="U107" s="213"/>
      <c r="V107" s="149"/>
      <c r="W107" s="214"/>
      <c r="X107" s="7"/>
      <c r="Y107" s="7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</row>
    <row r="108" spans="1:44" s="9" customFormat="1" ht="24" customHeight="1">
      <c r="A108" s="66">
        <v>79</v>
      </c>
      <c r="B108" s="67" t="s">
        <v>232</v>
      </c>
      <c r="C108" s="70"/>
      <c r="D108" s="69"/>
      <c r="E108" s="69"/>
      <c r="F108" s="69"/>
      <c r="G108" s="69"/>
      <c r="H108" s="68">
        <v>0.70599999999999996</v>
      </c>
      <c r="I108" s="71"/>
      <c r="J108" s="70">
        <f t="shared" si="20"/>
        <v>11905.208000000001</v>
      </c>
      <c r="K108" s="70">
        <v>11309.967000000001</v>
      </c>
      <c r="L108" s="145">
        <v>595.24099999999999</v>
      </c>
      <c r="M108" s="47"/>
      <c r="N108" s="47"/>
      <c r="O108" s="47"/>
      <c r="P108" s="47"/>
      <c r="Q108" s="48"/>
      <c r="R108" s="146"/>
      <c r="S108" s="146"/>
      <c r="T108" s="147"/>
      <c r="U108" s="213"/>
      <c r="V108" s="149"/>
      <c r="W108" s="214"/>
      <c r="X108" s="7"/>
      <c r="Y108" s="7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</row>
    <row r="109" spans="1:44" s="9" customFormat="1" ht="25.5" customHeight="1">
      <c r="A109" s="66"/>
      <c r="B109" s="59" t="s">
        <v>36</v>
      </c>
      <c r="C109" s="60"/>
      <c r="D109" s="60"/>
      <c r="E109" s="60"/>
      <c r="F109" s="60"/>
      <c r="G109" s="60"/>
      <c r="H109" s="60">
        <f>H110+H111</f>
        <v>2.4060000000000001</v>
      </c>
      <c r="I109" s="60"/>
      <c r="J109" s="60">
        <f>J110+J111</f>
        <v>250000</v>
      </c>
      <c r="K109" s="60">
        <f>K110+K111</f>
        <v>235000</v>
      </c>
      <c r="L109" s="61">
        <f>L110+L111</f>
        <v>15000</v>
      </c>
      <c r="M109" s="47"/>
      <c r="N109" s="47"/>
      <c r="O109" s="47"/>
      <c r="P109" s="47"/>
      <c r="Q109" s="48"/>
      <c r="R109" s="62">
        <f>R110</f>
        <v>4.45</v>
      </c>
      <c r="S109" s="62"/>
      <c r="T109" s="60">
        <f>T110</f>
        <v>186480</v>
      </c>
      <c r="U109" s="61">
        <f>U110</f>
        <v>186480</v>
      </c>
      <c r="V109" s="52"/>
      <c r="W109" s="7" t="s">
        <v>19</v>
      </c>
      <c r="X109" s="7"/>
      <c r="Y109" s="7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</row>
    <row r="110" spans="1:44" s="9" customFormat="1" ht="57.75" customHeight="1">
      <c r="A110" s="66">
        <v>80</v>
      </c>
      <c r="B110" s="67" t="s">
        <v>234</v>
      </c>
      <c r="C110" s="143"/>
      <c r="D110" s="60"/>
      <c r="E110" s="60"/>
      <c r="F110" s="60"/>
      <c r="G110" s="130"/>
      <c r="H110" s="218">
        <f>2.406-0.313</f>
        <v>2.093</v>
      </c>
      <c r="I110" s="151"/>
      <c r="J110" s="152">
        <f>250000-32500</f>
        <v>217500</v>
      </c>
      <c r="K110" s="152">
        <f>J110*0.94</f>
        <v>204450</v>
      </c>
      <c r="L110" s="153">
        <f>J110-K110</f>
        <v>13050</v>
      </c>
      <c r="M110" s="47"/>
      <c r="N110" s="47"/>
      <c r="O110" s="47"/>
      <c r="P110" s="47"/>
      <c r="Q110" s="48"/>
      <c r="R110" s="154">
        <v>4.45</v>
      </c>
      <c r="S110" s="142"/>
      <c r="T110" s="60">
        <v>186480</v>
      </c>
      <c r="U110" s="61">
        <f>T110</f>
        <v>186480</v>
      </c>
      <c r="V110" s="52"/>
      <c r="W110" s="7"/>
      <c r="X110" s="7"/>
      <c r="Y110" s="7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</row>
    <row r="111" spans="1:44" s="9" customFormat="1" ht="45.75" customHeight="1">
      <c r="A111" s="66">
        <v>81</v>
      </c>
      <c r="B111" s="67" t="s">
        <v>233</v>
      </c>
      <c r="C111" s="143"/>
      <c r="D111" s="60"/>
      <c r="E111" s="60"/>
      <c r="F111" s="60"/>
      <c r="G111" s="130"/>
      <c r="H111" s="218">
        <v>0.313</v>
      </c>
      <c r="I111" s="151"/>
      <c r="J111" s="72">
        <v>32500</v>
      </c>
      <c r="K111" s="72">
        <f>J111*0.94</f>
        <v>30550</v>
      </c>
      <c r="L111" s="73">
        <f>J111-K111</f>
        <v>1950</v>
      </c>
      <c r="M111" s="47"/>
      <c r="N111" s="47"/>
      <c r="O111" s="47"/>
      <c r="P111" s="47"/>
      <c r="Q111" s="48"/>
      <c r="R111" s="154"/>
      <c r="S111" s="142"/>
      <c r="T111" s="60"/>
      <c r="U111" s="61"/>
      <c r="V111" s="52"/>
      <c r="W111" s="7"/>
      <c r="X111" s="7"/>
      <c r="Y111" s="7"/>
      <c r="Z111" s="5" t="s">
        <v>19</v>
      </c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</row>
    <row r="112" spans="1:44" s="10" customFormat="1" ht="24" customHeight="1">
      <c r="A112" s="155"/>
      <c r="B112" s="59" t="s">
        <v>161</v>
      </c>
      <c r="C112" s="122"/>
      <c r="D112" s="122"/>
      <c r="E112" s="122"/>
      <c r="F112" s="122"/>
      <c r="G112" s="122"/>
      <c r="H112" s="122">
        <f>SUM(H114:H119)</f>
        <v>5.9379999999999997</v>
      </c>
      <c r="I112" s="122"/>
      <c r="J112" s="122">
        <f t="shared" ref="J112:L112" si="21">SUM(J114:J119)</f>
        <v>75377.3</v>
      </c>
      <c r="K112" s="122">
        <f t="shared" si="21"/>
        <v>71608.434999999998</v>
      </c>
      <c r="L112" s="122">
        <f t="shared" si="21"/>
        <v>3768.8650000000043</v>
      </c>
      <c r="M112" s="156"/>
      <c r="N112" s="156"/>
      <c r="O112" s="156"/>
      <c r="P112" s="156"/>
      <c r="Q112" s="157"/>
      <c r="R112" s="62" t="e">
        <f>#REF!</f>
        <v>#REF!</v>
      </c>
      <c r="S112" s="60"/>
      <c r="T112" s="60" t="e">
        <f>#REF!</f>
        <v>#REF!</v>
      </c>
      <c r="U112" s="60" t="e">
        <f>#REF!</f>
        <v>#REF!</v>
      </c>
      <c r="V112" s="63" t="e">
        <f>#REF!</f>
        <v>#REF!</v>
      </c>
      <c r="W112" s="7" t="s">
        <v>12</v>
      </c>
      <c r="X112" s="7"/>
      <c r="Y112" s="7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</row>
    <row r="113" spans="1:44" s="9" customFormat="1" ht="43.5" customHeight="1">
      <c r="A113" s="66"/>
      <c r="B113" s="67" t="s">
        <v>139</v>
      </c>
      <c r="C113" s="158"/>
      <c r="D113" s="158"/>
      <c r="E113" s="158"/>
      <c r="F113" s="158"/>
      <c r="G113" s="158"/>
      <c r="H113" s="68"/>
      <c r="I113" s="69"/>
      <c r="J113" s="70"/>
      <c r="K113" s="70"/>
      <c r="L113" s="145"/>
      <c r="M113" s="47"/>
      <c r="N113" s="47"/>
      <c r="O113" s="47"/>
      <c r="P113" s="47"/>
      <c r="Q113" s="48"/>
      <c r="R113" s="159"/>
      <c r="S113" s="159"/>
      <c r="T113" s="158"/>
      <c r="U113" s="160"/>
      <c r="V113" s="52"/>
      <c r="W113" s="7"/>
      <c r="X113" s="7"/>
      <c r="Y113" s="7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</row>
    <row r="114" spans="1:44" s="9" customFormat="1" ht="27" customHeight="1">
      <c r="A114" s="66">
        <v>82</v>
      </c>
      <c r="B114" s="67" t="s">
        <v>217</v>
      </c>
      <c r="C114" s="70"/>
      <c r="D114" s="69"/>
      <c r="E114" s="69"/>
      <c r="F114" s="69"/>
      <c r="G114" s="69"/>
      <c r="H114" s="68">
        <v>1.296</v>
      </c>
      <c r="I114" s="69"/>
      <c r="J114" s="70">
        <v>15818.81</v>
      </c>
      <c r="K114" s="70">
        <f t="shared" ref="K114:K119" si="22">J114*0.95</f>
        <v>15027.869499999999</v>
      </c>
      <c r="L114" s="145">
        <f>J114-K114</f>
        <v>790.94050000000061</v>
      </c>
      <c r="M114" s="47"/>
      <c r="N114" s="47"/>
      <c r="O114" s="47"/>
      <c r="P114" s="47"/>
      <c r="Q114" s="48"/>
      <c r="R114" s="146"/>
      <c r="S114" s="146"/>
      <c r="T114" s="147"/>
      <c r="U114" s="213"/>
      <c r="V114" s="149"/>
      <c r="W114" s="214"/>
      <c r="X114" s="7"/>
      <c r="Y114" s="7"/>
      <c r="Z114" s="5" t="s">
        <v>37</v>
      </c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</row>
    <row r="115" spans="1:44" s="9" customFormat="1" ht="27" customHeight="1">
      <c r="A115" s="66">
        <v>83</v>
      </c>
      <c r="B115" s="67" t="s">
        <v>218</v>
      </c>
      <c r="C115" s="70"/>
      <c r="D115" s="69"/>
      <c r="E115" s="69"/>
      <c r="F115" s="69"/>
      <c r="G115" s="69"/>
      <c r="H115" s="68">
        <v>0.34</v>
      </c>
      <c r="I115" s="69"/>
      <c r="J115" s="70">
        <v>16386.509999999998</v>
      </c>
      <c r="K115" s="70">
        <f t="shared" si="22"/>
        <v>15567.184499999998</v>
      </c>
      <c r="L115" s="145">
        <f t="shared" ref="L115:L119" si="23">J115-K115</f>
        <v>819.32550000000083</v>
      </c>
      <c r="M115" s="47"/>
      <c r="N115" s="47"/>
      <c r="O115" s="47"/>
      <c r="P115" s="47"/>
      <c r="Q115" s="48"/>
      <c r="R115" s="146"/>
      <c r="S115" s="146"/>
      <c r="T115" s="147"/>
      <c r="U115" s="213"/>
      <c r="V115" s="149"/>
      <c r="W115" s="214"/>
      <c r="X115" s="7"/>
      <c r="Y115" s="7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</row>
    <row r="116" spans="1:44" s="9" customFormat="1" ht="27" customHeight="1">
      <c r="A116" s="66">
        <v>84</v>
      </c>
      <c r="B116" s="67" t="s">
        <v>219</v>
      </c>
      <c r="C116" s="70"/>
      <c r="D116" s="69"/>
      <c r="E116" s="69"/>
      <c r="F116" s="69"/>
      <c r="G116" s="69"/>
      <c r="H116" s="68">
        <v>1.3260000000000001</v>
      </c>
      <c r="I116" s="69"/>
      <c r="J116" s="70">
        <v>12870.63</v>
      </c>
      <c r="K116" s="70">
        <f t="shared" si="22"/>
        <v>12227.098499999998</v>
      </c>
      <c r="L116" s="145">
        <f t="shared" si="23"/>
        <v>643.53150000000096</v>
      </c>
      <c r="M116" s="47"/>
      <c r="N116" s="47"/>
      <c r="O116" s="47"/>
      <c r="P116" s="47"/>
      <c r="Q116" s="48"/>
      <c r="R116" s="146"/>
      <c r="S116" s="146"/>
      <c r="T116" s="147"/>
      <c r="U116" s="213"/>
      <c r="V116" s="149"/>
      <c r="W116" s="214"/>
      <c r="X116" s="7"/>
      <c r="Y116" s="7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</row>
    <row r="117" spans="1:44" s="9" customFormat="1" ht="27" customHeight="1">
      <c r="A117" s="66">
        <v>85</v>
      </c>
      <c r="B117" s="67" t="s">
        <v>220</v>
      </c>
      <c r="C117" s="70"/>
      <c r="D117" s="69"/>
      <c r="E117" s="69"/>
      <c r="F117" s="69"/>
      <c r="G117" s="69"/>
      <c r="H117" s="68">
        <v>1.5009999999999999</v>
      </c>
      <c r="I117" s="69"/>
      <c r="J117" s="70">
        <v>13470.76</v>
      </c>
      <c r="K117" s="70">
        <f t="shared" si="22"/>
        <v>12797.222</v>
      </c>
      <c r="L117" s="145">
        <f t="shared" si="23"/>
        <v>673.53800000000047</v>
      </c>
      <c r="M117" s="47"/>
      <c r="N117" s="47"/>
      <c r="O117" s="47"/>
      <c r="P117" s="47"/>
      <c r="Q117" s="48"/>
      <c r="R117" s="146"/>
      <c r="S117" s="146"/>
      <c r="T117" s="147"/>
      <c r="U117" s="213"/>
      <c r="V117" s="149"/>
      <c r="W117" s="214"/>
      <c r="X117" s="7"/>
      <c r="Y117" s="7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</row>
    <row r="118" spans="1:44" s="9" customFormat="1" ht="27" customHeight="1">
      <c r="A118" s="66">
        <v>86</v>
      </c>
      <c r="B118" s="67" t="s">
        <v>221</v>
      </c>
      <c r="C118" s="70"/>
      <c r="D118" s="69"/>
      <c r="E118" s="69"/>
      <c r="F118" s="69"/>
      <c r="G118" s="69"/>
      <c r="H118" s="68">
        <v>0.76500000000000001</v>
      </c>
      <c r="I118" s="69"/>
      <c r="J118" s="70">
        <v>6464.26</v>
      </c>
      <c r="K118" s="70">
        <f t="shared" si="22"/>
        <v>6141.0469999999996</v>
      </c>
      <c r="L118" s="145">
        <f t="shared" si="23"/>
        <v>323.21300000000065</v>
      </c>
      <c r="M118" s="47"/>
      <c r="N118" s="47"/>
      <c r="O118" s="47"/>
      <c r="P118" s="47"/>
      <c r="Q118" s="48"/>
      <c r="R118" s="146"/>
      <c r="S118" s="146"/>
      <c r="T118" s="147"/>
      <c r="U118" s="213"/>
      <c r="V118" s="149"/>
      <c r="W118" s="214"/>
      <c r="X118" s="7"/>
      <c r="Y118" s="7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</row>
    <row r="119" spans="1:44" s="9" customFormat="1" ht="27" customHeight="1">
      <c r="A119" s="66">
        <v>87</v>
      </c>
      <c r="B119" s="67" t="s">
        <v>223</v>
      </c>
      <c r="C119" s="70"/>
      <c r="D119" s="69"/>
      <c r="E119" s="69"/>
      <c r="F119" s="69"/>
      <c r="G119" s="69"/>
      <c r="H119" s="68">
        <v>0.71</v>
      </c>
      <c r="I119" s="69"/>
      <c r="J119" s="70">
        <v>10366.33</v>
      </c>
      <c r="K119" s="70">
        <f t="shared" si="22"/>
        <v>9848.0134999999991</v>
      </c>
      <c r="L119" s="145">
        <f t="shared" si="23"/>
        <v>518.31650000000081</v>
      </c>
      <c r="M119" s="47"/>
      <c r="N119" s="47"/>
      <c r="O119" s="47"/>
      <c r="P119" s="47"/>
      <c r="Q119" s="48"/>
      <c r="R119" s="146"/>
      <c r="S119" s="146"/>
      <c r="T119" s="147"/>
      <c r="U119" s="213"/>
      <c r="V119" s="149"/>
      <c r="W119" s="214"/>
      <c r="X119" s="7"/>
      <c r="Y119" s="7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</row>
    <row r="120" spans="1:44" s="10" customFormat="1" ht="27" customHeight="1">
      <c r="A120" s="155"/>
      <c r="B120" s="59" t="s">
        <v>162</v>
      </c>
      <c r="C120" s="60">
        <f>C122+C125</f>
        <v>8.2070000000000007</v>
      </c>
      <c r="D120" s="60"/>
      <c r="E120" s="60">
        <f>E122+E125</f>
        <v>64090.400000000009</v>
      </c>
      <c r="F120" s="60">
        <f>F122+F125</f>
        <v>60885.864999999998</v>
      </c>
      <c r="G120" s="60">
        <f>G122+G125</f>
        <v>3204.5350000000053</v>
      </c>
      <c r="H120" s="60">
        <f>H122+H123</f>
        <v>0.21</v>
      </c>
      <c r="I120" s="60"/>
      <c r="J120" s="60">
        <f>J122+J123</f>
        <v>5690.5</v>
      </c>
      <c r="K120" s="60">
        <f>K122+K123</f>
        <v>5406</v>
      </c>
      <c r="L120" s="61">
        <f>L122+L123</f>
        <v>284.5</v>
      </c>
      <c r="M120" s="156"/>
      <c r="N120" s="156"/>
      <c r="O120" s="156"/>
      <c r="P120" s="156"/>
      <c r="Q120" s="157"/>
      <c r="R120" s="62" t="e">
        <f>#REF!+#REF!</f>
        <v>#REF!</v>
      </c>
      <c r="S120" s="62"/>
      <c r="T120" s="60" t="e">
        <f>#REF!+#REF!</f>
        <v>#REF!</v>
      </c>
      <c r="U120" s="61" t="e">
        <f>#REF!+#REF!</f>
        <v>#REF!</v>
      </c>
      <c r="V120" s="63" t="e">
        <f>#REF!+#REF!</f>
        <v>#REF!</v>
      </c>
      <c r="W120" s="7"/>
      <c r="X120" s="7"/>
      <c r="Y120" s="7"/>
      <c r="Z120" s="5" t="s">
        <v>37</v>
      </c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</row>
    <row r="121" spans="1:44" s="10" customFormat="1" ht="40.5" customHeight="1">
      <c r="A121" s="155"/>
      <c r="B121" s="67" t="s">
        <v>139</v>
      </c>
      <c r="C121" s="60"/>
      <c r="D121" s="60"/>
      <c r="E121" s="60"/>
      <c r="F121" s="60"/>
      <c r="G121" s="60"/>
      <c r="H121" s="60"/>
      <c r="I121" s="60"/>
      <c r="J121" s="60"/>
      <c r="K121" s="60"/>
      <c r="L121" s="61"/>
      <c r="M121" s="156"/>
      <c r="N121" s="156"/>
      <c r="O121" s="156"/>
      <c r="P121" s="156"/>
      <c r="Q121" s="157"/>
      <c r="R121" s="62"/>
      <c r="S121" s="62"/>
      <c r="T121" s="60"/>
      <c r="U121" s="61"/>
      <c r="V121" s="63"/>
      <c r="W121" s="7"/>
      <c r="X121" s="7"/>
      <c r="Y121" s="7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</row>
    <row r="122" spans="1:44" s="9" customFormat="1" ht="24" customHeight="1">
      <c r="A122" s="66">
        <v>88</v>
      </c>
      <c r="B122" s="67" t="s">
        <v>154</v>
      </c>
      <c r="C122" s="68">
        <v>7.12</v>
      </c>
      <c r="D122" s="161"/>
      <c r="E122" s="70">
        <f>72857.3-18578.6</f>
        <v>54278.700000000004</v>
      </c>
      <c r="F122" s="70">
        <f>E122*0.95</f>
        <v>51564.764999999999</v>
      </c>
      <c r="G122" s="145">
        <f>E122-F122</f>
        <v>2713.9350000000049</v>
      </c>
      <c r="H122" s="68"/>
      <c r="I122" s="161"/>
      <c r="J122" s="70"/>
      <c r="K122" s="70"/>
      <c r="L122" s="145"/>
      <c r="M122" s="47"/>
      <c r="N122" s="47"/>
      <c r="O122" s="47"/>
      <c r="P122" s="47"/>
      <c r="Q122" s="48"/>
      <c r="R122" s="132"/>
      <c r="S122" s="132"/>
      <c r="T122" s="162"/>
      <c r="U122" s="163"/>
      <c r="V122" s="164"/>
      <c r="W122" s="7"/>
      <c r="X122" s="7"/>
      <c r="Y122" s="7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</row>
    <row r="123" spans="1:44" s="9" customFormat="1" ht="38.25" customHeight="1">
      <c r="A123" s="66">
        <v>89</v>
      </c>
      <c r="B123" s="67" t="s">
        <v>158</v>
      </c>
      <c r="C123" s="130"/>
      <c r="D123" s="130"/>
      <c r="E123" s="130"/>
      <c r="F123" s="130"/>
      <c r="G123" s="130"/>
      <c r="H123" s="68">
        <v>0.21</v>
      </c>
      <c r="I123" s="161"/>
      <c r="J123" s="70">
        <v>5690.5</v>
      </c>
      <c r="K123" s="70">
        <v>5406</v>
      </c>
      <c r="L123" s="145">
        <f>J123-K123</f>
        <v>284.5</v>
      </c>
      <c r="M123" s="47"/>
      <c r="N123" s="47"/>
      <c r="O123" s="47"/>
      <c r="P123" s="47"/>
      <c r="Q123" s="48"/>
      <c r="R123" s="132"/>
      <c r="S123" s="132"/>
      <c r="T123" s="162"/>
      <c r="U123" s="163"/>
      <c r="V123" s="164"/>
      <c r="W123" s="165">
        <f>K123/J123*100</f>
        <v>95.000439328705738</v>
      </c>
      <c r="X123" s="7"/>
      <c r="Y123" s="7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</row>
    <row r="124" spans="1:44" s="9" customFormat="1" ht="40.5" customHeight="1">
      <c r="A124" s="66"/>
      <c r="B124" s="136" t="s">
        <v>152</v>
      </c>
      <c r="C124" s="130"/>
      <c r="D124" s="130"/>
      <c r="E124" s="130"/>
      <c r="F124" s="130"/>
      <c r="G124" s="130"/>
      <c r="H124" s="130"/>
      <c r="I124" s="130"/>
      <c r="J124" s="130"/>
      <c r="K124" s="130"/>
      <c r="L124" s="131"/>
      <c r="M124" s="47"/>
      <c r="N124" s="47"/>
      <c r="O124" s="47"/>
      <c r="P124" s="47"/>
      <c r="Q124" s="48"/>
      <c r="R124" s="132"/>
      <c r="S124" s="132"/>
      <c r="T124" s="162"/>
      <c r="U124" s="163"/>
      <c r="V124" s="164"/>
      <c r="W124" s="7"/>
      <c r="X124" s="7"/>
      <c r="Y124" s="7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</row>
    <row r="125" spans="1:44" s="9" customFormat="1" ht="41.25" customHeight="1">
      <c r="A125" s="66">
        <v>90</v>
      </c>
      <c r="B125" s="67" t="s">
        <v>38</v>
      </c>
      <c r="C125" s="84">
        <v>1.087</v>
      </c>
      <c r="D125" s="60"/>
      <c r="E125" s="72">
        <v>9811.7000000000007</v>
      </c>
      <c r="F125" s="72">
        <v>9321.1</v>
      </c>
      <c r="G125" s="72">
        <f>E125-F125</f>
        <v>490.60000000000036</v>
      </c>
      <c r="H125" s="130"/>
      <c r="I125" s="130"/>
      <c r="J125" s="130"/>
      <c r="K125" s="130"/>
      <c r="L125" s="131"/>
      <c r="M125" s="47"/>
      <c r="N125" s="47"/>
      <c r="O125" s="47"/>
      <c r="P125" s="47"/>
      <c r="Q125" s="48"/>
      <c r="R125" s="132"/>
      <c r="S125" s="132"/>
      <c r="T125" s="162"/>
      <c r="U125" s="163"/>
      <c r="V125" s="164"/>
      <c r="W125" s="7"/>
      <c r="X125" s="7"/>
      <c r="Y125" s="7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</row>
    <row r="126" spans="1:44" s="10" customFormat="1" ht="27" customHeight="1">
      <c r="A126" s="155"/>
      <c r="B126" s="59" t="s">
        <v>163</v>
      </c>
      <c r="C126" s="166"/>
      <c r="D126" s="167"/>
      <c r="E126" s="167"/>
      <c r="F126" s="167"/>
      <c r="G126" s="167"/>
      <c r="H126" s="167">
        <f>SUM(H128:H131)</f>
        <v>7.298</v>
      </c>
      <c r="I126" s="167"/>
      <c r="J126" s="167">
        <f>SUM(J128:J131)</f>
        <v>91189.8</v>
      </c>
      <c r="K126" s="167">
        <f>SUM(K128:K131)</f>
        <v>86630.299999999988</v>
      </c>
      <c r="L126" s="168">
        <f>SUM(L128:L131)</f>
        <v>4559.5000000000055</v>
      </c>
      <c r="M126" s="156"/>
      <c r="N126" s="156"/>
      <c r="O126" s="156"/>
      <c r="P126" s="156"/>
      <c r="Q126" s="157"/>
      <c r="R126" s="62" t="e">
        <f>#REF!</f>
        <v>#REF!</v>
      </c>
      <c r="S126" s="60"/>
      <c r="T126" s="60" t="e">
        <f>#REF!</f>
        <v>#REF!</v>
      </c>
      <c r="U126" s="60" t="e">
        <f>#REF!</f>
        <v>#REF!</v>
      </c>
      <c r="V126" s="63" t="e">
        <f>#REF!</f>
        <v>#REF!</v>
      </c>
      <c r="W126" s="169"/>
      <c r="X126" s="7" t="s">
        <v>19</v>
      </c>
      <c r="Y126" s="7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</row>
    <row r="127" spans="1:44" ht="40.5" customHeight="1">
      <c r="A127" s="66"/>
      <c r="B127" s="67" t="s">
        <v>139</v>
      </c>
      <c r="C127" s="130"/>
      <c r="D127" s="130"/>
      <c r="E127" s="130"/>
      <c r="F127" s="130"/>
      <c r="G127" s="130"/>
      <c r="H127" s="130"/>
      <c r="I127" s="130"/>
      <c r="J127" s="130"/>
      <c r="K127" s="130"/>
      <c r="L127" s="131"/>
      <c r="M127" s="35"/>
      <c r="N127" s="35"/>
      <c r="O127" s="35"/>
      <c r="P127" s="35"/>
      <c r="Q127" s="36"/>
      <c r="R127" s="170"/>
      <c r="S127" s="130"/>
      <c r="T127" s="130"/>
      <c r="U127" s="131"/>
      <c r="V127" s="52"/>
      <c r="W127" s="7"/>
      <c r="X127" s="7"/>
      <c r="Y127" s="7"/>
      <c r="Z127" s="171" t="s">
        <v>12</v>
      </c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</row>
    <row r="128" spans="1:44" ht="39" customHeight="1">
      <c r="A128" s="66">
        <v>91</v>
      </c>
      <c r="B128" s="133" t="s">
        <v>39</v>
      </c>
      <c r="C128" s="130"/>
      <c r="D128" s="130"/>
      <c r="E128" s="130"/>
      <c r="F128" s="130"/>
      <c r="G128" s="130"/>
      <c r="H128" s="68">
        <v>1.0169999999999999</v>
      </c>
      <c r="I128" s="161"/>
      <c r="J128" s="70">
        <v>10878.19</v>
      </c>
      <c r="K128" s="70">
        <f>J128*0.95</f>
        <v>10334.280500000001</v>
      </c>
      <c r="L128" s="145">
        <f>J128-K128</f>
        <v>543.90949999999975</v>
      </c>
      <c r="M128" s="35"/>
      <c r="N128" s="35"/>
      <c r="O128" s="35"/>
      <c r="P128" s="35"/>
      <c r="Q128" s="36"/>
      <c r="R128" s="170"/>
      <c r="S128" s="132"/>
      <c r="T128" s="130"/>
      <c r="U128" s="131"/>
      <c r="V128" s="52"/>
      <c r="W128" s="7"/>
      <c r="X128" s="7"/>
      <c r="Y128" s="7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</row>
    <row r="129" spans="1:42" ht="24" customHeight="1">
      <c r="A129" s="66">
        <v>92</v>
      </c>
      <c r="B129" s="133" t="s">
        <v>96</v>
      </c>
      <c r="C129" s="130"/>
      <c r="D129" s="130"/>
      <c r="E129" s="130"/>
      <c r="F129" s="130"/>
      <c r="G129" s="130"/>
      <c r="H129" s="68">
        <v>2.395</v>
      </c>
      <c r="I129" s="161"/>
      <c r="J129" s="70">
        <v>22472.47</v>
      </c>
      <c r="K129" s="70">
        <f>J129*0.95</f>
        <v>21348.8465</v>
      </c>
      <c r="L129" s="145">
        <f>J129-K129</f>
        <v>1123.6235000000015</v>
      </c>
      <c r="M129" s="35"/>
      <c r="N129" s="35"/>
      <c r="O129" s="35"/>
      <c r="P129" s="35"/>
      <c r="Q129" s="36"/>
      <c r="R129" s="170"/>
      <c r="S129" s="132"/>
      <c r="T129" s="130"/>
      <c r="U129" s="131"/>
      <c r="V129" s="52"/>
      <c r="W129" s="7"/>
      <c r="X129" s="7"/>
      <c r="Y129" s="7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</row>
    <row r="130" spans="1:42" ht="24" customHeight="1">
      <c r="A130" s="66">
        <v>93</v>
      </c>
      <c r="B130" s="133" t="s">
        <v>95</v>
      </c>
      <c r="C130" s="130"/>
      <c r="D130" s="130"/>
      <c r="E130" s="130"/>
      <c r="F130" s="130"/>
      <c r="G130" s="130"/>
      <c r="H130" s="68">
        <v>2.4390000000000001</v>
      </c>
      <c r="I130" s="161"/>
      <c r="J130" s="70">
        <v>26581.360000000001</v>
      </c>
      <c r="K130" s="70">
        <f>J130*0.95</f>
        <v>25252.291999999998</v>
      </c>
      <c r="L130" s="145">
        <f>J130-K130</f>
        <v>1329.0680000000029</v>
      </c>
      <c r="M130" s="35"/>
      <c r="N130" s="35"/>
      <c r="O130" s="35"/>
      <c r="P130" s="35"/>
      <c r="Q130" s="36"/>
      <c r="R130" s="170"/>
      <c r="S130" s="132"/>
      <c r="T130" s="130"/>
      <c r="U130" s="131"/>
      <c r="V130" s="52"/>
      <c r="W130" s="7"/>
      <c r="X130" s="7"/>
      <c r="Y130" s="7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</row>
    <row r="131" spans="1:42" ht="22.5" customHeight="1">
      <c r="A131" s="66">
        <v>94</v>
      </c>
      <c r="B131" s="133" t="s">
        <v>40</v>
      </c>
      <c r="C131" s="130"/>
      <c r="D131" s="130"/>
      <c r="E131" s="130"/>
      <c r="F131" s="130"/>
      <c r="G131" s="130"/>
      <c r="H131" s="68">
        <v>1.4470000000000001</v>
      </c>
      <c r="I131" s="130"/>
      <c r="J131" s="70">
        <v>31257.78</v>
      </c>
      <c r="K131" s="70">
        <f>J131*0.95-0.01</f>
        <v>29694.880999999998</v>
      </c>
      <c r="L131" s="145">
        <f>J131-K131</f>
        <v>1562.8990000000013</v>
      </c>
      <c r="M131" s="35"/>
      <c r="N131" s="35"/>
      <c r="O131" s="35"/>
      <c r="P131" s="35"/>
      <c r="Q131" s="36"/>
      <c r="R131" s="170"/>
      <c r="S131" s="132"/>
      <c r="T131" s="130"/>
      <c r="U131" s="131"/>
      <c r="V131" s="52"/>
      <c r="W131" s="7"/>
      <c r="X131" s="7"/>
      <c r="Y131" s="7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</row>
    <row r="132" spans="1:42" ht="44.25" customHeight="1">
      <c r="A132" s="66"/>
      <c r="B132" s="172" t="s">
        <v>164</v>
      </c>
      <c r="C132" s="60">
        <f>C133+C153</f>
        <v>18.654000000000003</v>
      </c>
      <c r="D132" s="167"/>
      <c r="E132" s="60">
        <f t="shared" ref="E132:G132" si="24">E133+E153</f>
        <v>196842.11255000002</v>
      </c>
      <c r="F132" s="60">
        <f t="shared" si="24"/>
        <v>187000.00000999999</v>
      </c>
      <c r="G132" s="60">
        <f t="shared" si="24"/>
        <v>9842.1125400000019</v>
      </c>
      <c r="H132" s="167"/>
      <c r="I132" s="167"/>
      <c r="J132" s="167"/>
      <c r="K132" s="167"/>
      <c r="L132" s="168"/>
      <c r="M132" s="60">
        <f>M152</f>
        <v>0.68</v>
      </c>
      <c r="N132" s="167"/>
      <c r="O132" s="60">
        <f>O152</f>
        <v>13461.1</v>
      </c>
      <c r="P132" s="60">
        <f>P152</f>
        <v>12788</v>
      </c>
      <c r="Q132" s="63">
        <f>Q152</f>
        <v>673.10000000000036</v>
      </c>
      <c r="R132" s="62" t="e">
        <f>#REF!</f>
        <v>#REF!</v>
      </c>
      <c r="S132" s="62"/>
      <c r="T132" s="60" t="e">
        <f>#REF!</f>
        <v>#REF!</v>
      </c>
      <c r="U132" s="61" t="e">
        <f>#REF!</f>
        <v>#REF!</v>
      </c>
      <c r="V132" s="63" t="e">
        <f>#REF!</f>
        <v>#REF!</v>
      </c>
      <c r="W132" s="53">
        <f>C132-'[1]09.06.25 уточ Валуйки и Прохор'!H153</f>
        <v>-1.144999999999996</v>
      </c>
      <c r="X132" s="7"/>
      <c r="Y132" s="7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</row>
    <row r="133" spans="1:42" ht="42.75" customHeight="1">
      <c r="A133" s="66"/>
      <c r="B133" s="67" t="s">
        <v>139</v>
      </c>
      <c r="C133" s="72">
        <f>SUM(C134:C151)</f>
        <v>15.994000000000002</v>
      </c>
      <c r="D133" s="161"/>
      <c r="E133" s="70">
        <f>SUM(E134:E151)</f>
        <v>171073.11255000002</v>
      </c>
      <c r="F133" s="70">
        <f t="shared" ref="F133:G133" si="25">SUM(F134:F151)</f>
        <v>162519.46192999999</v>
      </c>
      <c r="G133" s="70">
        <f t="shared" si="25"/>
        <v>8553.650620000004</v>
      </c>
      <c r="H133" s="130"/>
      <c r="I133" s="130"/>
      <c r="J133" s="130"/>
      <c r="K133" s="130"/>
      <c r="L133" s="131"/>
      <c r="M133" s="35"/>
      <c r="N133" s="35"/>
      <c r="O133" s="35"/>
      <c r="P133" s="35"/>
      <c r="Q133" s="36"/>
      <c r="R133" s="170"/>
      <c r="S133" s="130"/>
      <c r="T133" s="130"/>
      <c r="U133" s="131"/>
      <c r="V133" s="52"/>
      <c r="W133" s="7"/>
      <c r="X133" s="7"/>
      <c r="Y133" s="7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</row>
    <row r="134" spans="1:42" ht="24.95" customHeight="1">
      <c r="A134" s="66">
        <v>95</v>
      </c>
      <c r="B134" s="87" t="s">
        <v>41</v>
      </c>
      <c r="C134" s="173">
        <v>0.63</v>
      </c>
      <c r="D134" s="173"/>
      <c r="E134" s="174">
        <v>13029.3</v>
      </c>
      <c r="F134" s="174">
        <v>12377.84</v>
      </c>
      <c r="G134" s="174">
        <f t="shared" ref="G134:G151" si="26">E134-F134</f>
        <v>651.45999999999913</v>
      </c>
      <c r="H134" s="175"/>
      <c r="I134" s="175"/>
      <c r="J134" s="175"/>
      <c r="K134" s="175"/>
      <c r="L134" s="176"/>
      <c r="M134" s="35"/>
      <c r="N134" s="35"/>
      <c r="O134" s="35"/>
      <c r="P134" s="35"/>
      <c r="Q134" s="36"/>
      <c r="R134" s="177"/>
      <c r="S134" s="139"/>
      <c r="T134" s="78"/>
      <c r="U134" s="140"/>
      <c r="V134" s="52"/>
      <c r="W134" s="7"/>
      <c r="X134" s="7"/>
      <c r="Y134" s="7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</row>
    <row r="135" spans="1:42" ht="24.95" customHeight="1">
      <c r="A135" s="66">
        <v>96</v>
      </c>
      <c r="B135" s="87" t="s">
        <v>97</v>
      </c>
      <c r="C135" s="173">
        <v>0.29499999999999998</v>
      </c>
      <c r="D135" s="173"/>
      <c r="E135" s="174">
        <v>4116.42</v>
      </c>
      <c r="F135" s="174">
        <v>3910.5990000000002</v>
      </c>
      <c r="G135" s="174">
        <f t="shared" si="26"/>
        <v>205.82099999999991</v>
      </c>
      <c r="H135" s="175"/>
      <c r="I135" s="175"/>
      <c r="J135" s="175"/>
      <c r="K135" s="175"/>
      <c r="L135" s="176"/>
      <c r="M135" s="35"/>
      <c r="N135" s="35"/>
      <c r="O135" s="35"/>
      <c r="P135" s="35"/>
      <c r="Q135" s="36"/>
      <c r="R135" s="177"/>
      <c r="S135" s="139"/>
      <c r="T135" s="78"/>
      <c r="U135" s="140"/>
      <c r="V135" s="52"/>
      <c r="W135" s="7"/>
      <c r="X135" s="7"/>
      <c r="Y135" s="7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</row>
    <row r="136" spans="1:42" ht="24.95" customHeight="1">
      <c r="A136" s="66">
        <v>97</v>
      </c>
      <c r="B136" s="87" t="s">
        <v>42</v>
      </c>
      <c r="C136" s="173">
        <v>0.56000000000000005</v>
      </c>
      <c r="D136" s="173"/>
      <c r="E136" s="174">
        <v>4266.7570500000002</v>
      </c>
      <c r="F136" s="174">
        <v>4053.4191999999998</v>
      </c>
      <c r="G136" s="174">
        <f t="shared" si="26"/>
        <v>213.33785000000034</v>
      </c>
      <c r="H136" s="175"/>
      <c r="I136" s="175"/>
      <c r="J136" s="175"/>
      <c r="K136" s="175"/>
      <c r="L136" s="176"/>
      <c r="M136" s="35"/>
      <c r="N136" s="35"/>
      <c r="O136" s="35"/>
      <c r="P136" s="35"/>
      <c r="Q136" s="36"/>
      <c r="R136" s="177"/>
      <c r="S136" s="139"/>
      <c r="T136" s="78"/>
      <c r="U136" s="140"/>
      <c r="V136" s="52"/>
      <c r="W136" s="7"/>
      <c r="X136" s="7"/>
      <c r="Y136" s="7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</row>
    <row r="137" spans="1:42" ht="24.95" customHeight="1">
      <c r="A137" s="66">
        <v>98</v>
      </c>
      <c r="B137" s="87" t="s">
        <v>98</v>
      </c>
      <c r="C137" s="173">
        <v>2.48</v>
      </c>
      <c r="D137" s="173"/>
      <c r="E137" s="174">
        <v>22576.89</v>
      </c>
      <c r="F137" s="174">
        <v>21448.0455</v>
      </c>
      <c r="G137" s="174">
        <f t="shared" si="26"/>
        <v>1128.8444999999992</v>
      </c>
      <c r="H137" s="175"/>
      <c r="I137" s="175"/>
      <c r="J137" s="175"/>
      <c r="K137" s="175"/>
      <c r="L137" s="176"/>
      <c r="M137" s="35"/>
      <c r="N137" s="35"/>
      <c r="O137" s="35"/>
      <c r="P137" s="35"/>
      <c r="Q137" s="36"/>
      <c r="R137" s="177"/>
      <c r="S137" s="139"/>
      <c r="T137" s="78"/>
      <c r="U137" s="140"/>
      <c r="V137" s="52"/>
      <c r="W137" s="7"/>
      <c r="X137" s="7"/>
      <c r="Y137" s="7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</row>
    <row r="138" spans="1:42" ht="24.95" customHeight="1">
      <c r="A138" s="66">
        <v>99</v>
      </c>
      <c r="B138" s="87" t="s">
        <v>99</v>
      </c>
      <c r="C138" s="173">
        <v>0.55000000000000004</v>
      </c>
      <c r="D138" s="173"/>
      <c r="E138" s="174">
        <v>4980.22</v>
      </c>
      <c r="F138" s="174">
        <v>4731.2089999999998</v>
      </c>
      <c r="G138" s="174">
        <f t="shared" si="26"/>
        <v>249.01100000000042</v>
      </c>
      <c r="H138" s="175"/>
      <c r="I138" s="175"/>
      <c r="J138" s="175"/>
      <c r="K138" s="175"/>
      <c r="L138" s="176"/>
      <c r="M138" s="35"/>
      <c r="N138" s="35"/>
      <c r="O138" s="35"/>
      <c r="P138" s="35"/>
      <c r="Q138" s="36"/>
      <c r="R138" s="177"/>
      <c r="S138" s="139"/>
      <c r="T138" s="78"/>
      <c r="U138" s="140"/>
      <c r="V138" s="52"/>
      <c r="W138" s="7"/>
      <c r="X138" s="7"/>
      <c r="Y138" s="7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</row>
    <row r="139" spans="1:42" ht="24.95" customHeight="1">
      <c r="A139" s="66">
        <v>100</v>
      </c>
      <c r="B139" s="87" t="s">
        <v>43</v>
      </c>
      <c r="C139" s="173">
        <v>1.4850000000000001</v>
      </c>
      <c r="D139" s="173"/>
      <c r="E139" s="174">
        <v>6733.9</v>
      </c>
      <c r="F139" s="174">
        <v>6397.2049999999999</v>
      </c>
      <c r="G139" s="174">
        <f t="shared" si="26"/>
        <v>336.69499999999971</v>
      </c>
      <c r="H139" s="175"/>
      <c r="I139" s="175"/>
      <c r="J139" s="175"/>
      <c r="K139" s="175"/>
      <c r="L139" s="176"/>
      <c r="M139" s="35"/>
      <c r="N139" s="35"/>
      <c r="O139" s="35"/>
      <c r="P139" s="35"/>
      <c r="Q139" s="36"/>
      <c r="R139" s="177"/>
      <c r="S139" s="139"/>
      <c r="T139" s="78"/>
      <c r="U139" s="140"/>
      <c r="V139" s="52"/>
      <c r="W139" s="7"/>
      <c r="X139" s="7"/>
      <c r="Y139" s="7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</row>
    <row r="140" spans="1:42" ht="24.95" customHeight="1">
      <c r="A140" s="66">
        <v>101</v>
      </c>
      <c r="B140" s="87" t="s">
        <v>44</v>
      </c>
      <c r="C140" s="173">
        <v>0.94499999999999995</v>
      </c>
      <c r="D140" s="173"/>
      <c r="E140" s="174">
        <v>16761.8</v>
      </c>
      <c r="F140" s="174">
        <v>15923.71</v>
      </c>
      <c r="G140" s="174">
        <f t="shared" si="26"/>
        <v>838.09000000000015</v>
      </c>
      <c r="H140" s="175"/>
      <c r="I140" s="175"/>
      <c r="J140" s="175"/>
      <c r="K140" s="175"/>
      <c r="L140" s="176"/>
      <c r="M140" s="35"/>
      <c r="N140" s="35"/>
      <c r="O140" s="35"/>
      <c r="P140" s="35"/>
      <c r="Q140" s="36"/>
      <c r="R140" s="177"/>
      <c r="S140" s="139"/>
      <c r="T140" s="78"/>
      <c r="U140" s="140"/>
      <c r="V140" s="52"/>
      <c r="W140" s="7"/>
      <c r="X140" s="7"/>
      <c r="Y140" s="7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</row>
    <row r="141" spans="1:42" ht="24.95" customHeight="1">
      <c r="A141" s="66">
        <v>102</v>
      </c>
      <c r="B141" s="87" t="s">
        <v>45</v>
      </c>
      <c r="C141" s="173">
        <v>0.56999999999999995</v>
      </c>
      <c r="D141" s="173"/>
      <c r="E141" s="174">
        <v>7912.8077999999996</v>
      </c>
      <c r="F141" s="174">
        <v>7517.16741</v>
      </c>
      <c r="G141" s="174">
        <f t="shared" si="26"/>
        <v>395.64038999999957</v>
      </c>
      <c r="H141" s="175"/>
      <c r="I141" s="175"/>
      <c r="J141" s="175"/>
      <c r="K141" s="175"/>
      <c r="L141" s="176"/>
      <c r="M141" s="35"/>
      <c r="N141" s="35"/>
      <c r="O141" s="35"/>
      <c r="P141" s="35"/>
      <c r="Q141" s="36"/>
      <c r="R141" s="177"/>
      <c r="S141" s="139"/>
      <c r="T141" s="78"/>
      <c r="U141" s="140"/>
      <c r="V141" s="52"/>
      <c r="W141" s="7"/>
      <c r="X141" s="7"/>
      <c r="Y141" s="7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</row>
    <row r="142" spans="1:42" ht="24.95" customHeight="1">
      <c r="A142" s="66">
        <v>103</v>
      </c>
      <c r="B142" s="87" t="s">
        <v>46</v>
      </c>
      <c r="C142" s="173">
        <v>0.29299999999999998</v>
      </c>
      <c r="D142" s="173"/>
      <c r="E142" s="174">
        <v>3574.58</v>
      </c>
      <c r="F142" s="174">
        <v>3395.8510000000001</v>
      </c>
      <c r="G142" s="174">
        <f t="shared" si="26"/>
        <v>178.72899999999981</v>
      </c>
      <c r="H142" s="175"/>
      <c r="I142" s="175"/>
      <c r="J142" s="175"/>
      <c r="K142" s="175"/>
      <c r="L142" s="176"/>
      <c r="M142" s="35"/>
      <c r="N142" s="35"/>
      <c r="O142" s="35"/>
      <c r="P142" s="35"/>
      <c r="Q142" s="36"/>
      <c r="R142" s="177"/>
      <c r="S142" s="139"/>
      <c r="T142" s="78"/>
      <c r="U142" s="140"/>
      <c r="V142" s="52"/>
      <c r="W142" s="7"/>
      <c r="X142" s="7"/>
      <c r="Y142" s="7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</row>
    <row r="143" spans="1:42" ht="24.95" customHeight="1">
      <c r="A143" s="66">
        <v>104</v>
      </c>
      <c r="B143" s="87" t="s">
        <v>47</v>
      </c>
      <c r="C143" s="173">
        <v>0.51300000000000001</v>
      </c>
      <c r="D143" s="173"/>
      <c r="E143" s="174">
        <v>6310.36</v>
      </c>
      <c r="F143" s="174">
        <v>5994.8419999999996</v>
      </c>
      <c r="G143" s="174">
        <f t="shared" si="26"/>
        <v>315.51800000000003</v>
      </c>
      <c r="H143" s="175"/>
      <c r="I143" s="175"/>
      <c r="J143" s="175"/>
      <c r="K143" s="175"/>
      <c r="L143" s="176"/>
      <c r="M143" s="35"/>
      <c r="N143" s="35"/>
      <c r="O143" s="35"/>
      <c r="P143" s="35"/>
      <c r="Q143" s="36"/>
      <c r="R143" s="177"/>
      <c r="S143" s="139"/>
      <c r="T143" s="78"/>
      <c r="U143" s="140"/>
      <c r="V143" s="52"/>
      <c r="W143" s="7"/>
      <c r="X143" s="7"/>
      <c r="Y143" s="7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</row>
    <row r="144" spans="1:42" ht="24.95" customHeight="1">
      <c r="A144" s="66">
        <v>105</v>
      </c>
      <c r="B144" s="87" t="s">
        <v>101</v>
      </c>
      <c r="C144" s="173">
        <v>0.55300000000000005</v>
      </c>
      <c r="D144" s="173"/>
      <c r="E144" s="174">
        <v>1268.941</v>
      </c>
      <c r="F144" s="174">
        <v>1205.49395</v>
      </c>
      <c r="G144" s="174">
        <f t="shared" si="26"/>
        <v>63.44704999999999</v>
      </c>
      <c r="H144" s="175"/>
      <c r="I144" s="175"/>
      <c r="J144" s="175"/>
      <c r="K144" s="175"/>
      <c r="L144" s="176"/>
      <c r="M144" s="35"/>
      <c r="N144" s="35"/>
      <c r="O144" s="35"/>
      <c r="P144" s="35"/>
      <c r="Q144" s="36"/>
      <c r="R144" s="177"/>
      <c r="S144" s="139"/>
      <c r="T144" s="78"/>
      <c r="U144" s="140"/>
      <c r="V144" s="52"/>
      <c r="W144" s="7"/>
      <c r="X144" s="7"/>
      <c r="Y144" s="7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</row>
    <row r="145" spans="1:42" ht="24.95" customHeight="1">
      <c r="A145" s="66">
        <v>106</v>
      </c>
      <c r="B145" s="87" t="s">
        <v>48</v>
      </c>
      <c r="C145" s="173">
        <v>0.56000000000000005</v>
      </c>
      <c r="D145" s="173"/>
      <c r="E145" s="174">
        <v>348.19069999999999</v>
      </c>
      <c r="F145" s="174">
        <v>330.78116999999997</v>
      </c>
      <c r="G145" s="174">
        <f t="shared" si="26"/>
        <v>17.409530000000018</v>
      </c>
      <c r="H145" s="175"/>
      <c r="I145" s="175"/>
      <c r="J145" s="175"/>
      <c r="K145" s="175"/>
      <c r="L145" s="176"/>
      <c r="M145" s="35"/>
      <c r="N145" s="35"/>
      <c r="O145" s="35"/>
      <c r="P145" s="35"/>
      <c r="Q145" s="36"/>
      <c r="R145" s="177"/>
      <c r="S145" s="139"/>
      <c r="T145" s="78"/>
      <c r="U145" s="140"/>
      <c r="V145" s="52"/>
      <c r="W145" s="7"/>
      <c r="X145" s="7"/>
      <c r="Y145" s="7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</row>
    <row r="146" spans="1:42" ht="24.95" customHeight="1">
      <c r="A146" s="66">
        <v>107</v>
      </c>
      <c r="B146" s="87" t="s">
        <v>49</v>
      </c>
      <c r="C146" s="173">
        <v>3.1</v>
      </c>
      <c r="D146" s="173"/>
      <c r="E146" s="174">
        <v>22698.74</v>
      </c>
      <c r="F146" s="174">
        <v>21563.803</v>
      </c>
      <c r="G146" s="174">
        <f t="shared" si="26"/>
        <v>1134.9370000000017</v>
      </c>
      <c r="H146" s="175"/>
      <c r="I146" s="175"/>
      <c r="J146" s="175"/>
      <c r="K146" s="175"/>
      <c r="L146" s="176"/>
      <c r="M146" s="35"/>
      <c r="N146" s="35"/>
      <c r="O146" s="35"/>
      <c r="P146" s="35"/>
      <c r="Q146" s="36"/>
      <c r="R146" s="177"/>
      <c r="S146" s="139"/>
      <c r="T146" s="78"/>
      <c r="U146" s="140"/>
      <c r="V146" s="52"/>
      <c r="W146" s="7"/>
      <c r="X146" s="7"/>
      <c r="Y146" s="7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</row>
    <row r="147" spans="1:42" ht="24.95" customHeight="1">
      <c r="A147" s="66">
        <v>108</v>
      </c>
      <c r="B147" s="87" t="s">
        <v>50</v>
      </c>
      <c r="C147" s="173">
        <v>0.88100000000000001</v>
      </c>
      <c r="D147" s="173"/>
      <c r="E147" s="174">
        <v>8561.6</v>
      </c>
      <c r="F147" s="174">
        <v>8133.52</v>
      </c>
      <c r="G147" s="174">
        <f t="shared" si="26"/>
        <v>428.07999999999993</v>
      </c>
      <c r="H147" s="175"/>
      <c r="I147" s="175"/>
      <c r="J147" s="175"/>
      <c r="K147" s="175"/>
      <c r="L147" s="176"/>
      <c r="M147" s="35"/>
      <c r="N147" s="35"/>
      <c r="O147" s="35"/>
      <c r="P147" s="35"/>
      <c r="Q147" s="36"/>
      <c r="R147" s="177"/>
      <c r="S147" s="139"/>
      <c r="T147" s="78"/>
      <c r="U147" s="140"/>
      <c r="V147" s="52"/>
      <c r="W147" s="7"/>
      <c r="X147" s="7"/>
      <c r="Y147" s="7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</row>
    <row r="148" spans="1:42" ht="24.95" customHeight="1">
      <c r="A148" s="66">
        <v>109</v>
      </c>
      <c r="B148" s="87" t="s">
        <v>51</v>
      </c>
      <c r="C148" s="173">
        <v>1.78</v>
      </c>
      <c r="D148" s="173"/>
      <c r="E148" s="174">
        <v>21754.86</v>
      </c>
      <c r="F148" s="174">
        <v>20667.116999999998</v>
      </c>
      <c r="G148" s="174">
        <f t="shared" si="26"/>
        <v>1087.7430000000022</v>
      </c>
      <c r="H148" s="175"/>
      <c r="I148" s="175"/>
      <c r="J148" s="175"/>
      <c r="K148" s="175"/>
      <c r="L148" s="176"/>
      <c r="M148" s="35"/>
      <c r="N148" s="35"/>
      <c r="O148" s="35"/>
      <c r="P148" s="35"/>
      <c r="Q148" s="36"/>
      <c r="R148" s="177"/>
      <c r="S148" s="139"/>
      <c r="T148" s="78"/>
      <c r="U148" s="140"/>
      <c r="V148" s="52"/>
      <c r="W148" s="7"/>
      <c r="X148" s="7"/>
      <c r="Y148" s="7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</row>
    <row r="149" spans="1:42" ht="24.95" customHeight="1">
      <c r="A149" s="66">
        <v>110</v>
      </c>
      <c r="B149" s="87" t="s">
        <v>52</v>
      </c>
      <c r="C149" s="173">
        <v>0.47099999999999997</v>
      </c>
      <c r="D149" s="173"/>
      <c r="E149" s="174">
        <v>23435.99</v>
      </c>
      <c r="F149" s="174">
        <v>22264.190500000001</v>
      </c>
      <c r="G149" s="174">
        <f t="shared" si="26"/>
        <v>1171.799500000001</v>
      </c>
      <c r="H149" s="175"/>
      <c r="I149" s="175"/>
      <c r="J149" s="175"/>
      <c r="K149" s="175"/>
      <c r="L149" s="176"/>
      <c r="M149" s="35"/>
      <c r="N149" s="35"/>
      <c r="O149" s="35"/>
      <c r="P149" s="35"/>
      <c r="Q149" s="36"/>
      <c r="R149" s="177"/>
      <c r="S149" s="139"/>
      <c r="T149" s="78"/>
      <c r="U149" s="140"/>
      <c r="V149" s="52"/>
      <c r="W149" s="7"/>
      <c r="X149" s="7"/>
      <c r="Y149" s="7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</row>
    <row r="150" spans="1:42" ht="24.95" customHeight="1">
      <c r="A150" s="66">
        <v>111</v>
      </c>
      <c r="B150" s="87" t="s">
        <v>53</v>
      </c>
      <c r="C150" s="173">
        <v>0.253</v>
      </c>
      <c r="D150" s="173"/>
      <c r="E150" s="174">
        <v>2296.52</v>
      </c>
      <c r="F150" s="174">
        <v>2181.694</v>
      </c>
      <c r="G150" s="174">
        <f t="shared" si="26"/>
        <v>114.82600000000002</v>
      </c>
      <c r="H150" s="175"/>
      <c r="I150" s="175"/>
      <c r="J150" s="175"/>
      <c r="K150" s="175"/>
      <c r="L150" s="176"/>
      <c r="M150" s="35"/>
      <c r="N150" s="35"/>
      <c r="O150" s="35"/>
      <c r="P150" s="35"/>
      <c r="Q150" s="36"/>
      <c r="R150" s="177"/>
      <c r="S150" s="139"/>
      <c r="T150" s="78"/>
      <c r="U150" s="140"/>
      <c r="V150" s="52"/>
      <c r="W150" s="7"/>
      <c r="X150" s="7"/>
      <c r="Y150" s="7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</row>
    <row r="151" spans="1:42" ht="24.95" customHeight="1">
      <c r="A151" s="223">
        <v>112</v>
      </c>
      <c r="B151" s="87" t="s">
        <v>100</v>
      </c>
      <c r="C151" s="173">
        <v>7.4999999999999997E-2</v>
      </c>
      <c r="D151" s="173"/>
      <c r="E151" s="174">
        <v>445.23599999999999</v>
      </c>
      <c r="F151" s="174">
        <v>422.9742</v>
      </c>
      <c r="G151" s="174">
        <f t="shared" si="26"/>
        <v>22.261799999999994</v>
      </c>
      <c r="H151" s="175"/>
      <c r="I151" s="175"/>
      <c r="J151" s="175"/>
      <c r="K151" s="175"/>
      <c r="L151" s="176"/>
      <c r="M151" s="35"/>
      <c r="N151" s="35"/>
      <c r="O151" s="35"/>
      <c r="P151" s="35"/>
      <c r="Q151" s="36"/>
      <c r="R151" s="177"/>
      <c r="S151" s="139"/>
      <c r="T151" s="78"/>
      <c r="U151" s="140"/>
      <c r="V151" s="52"/>
      <c r="W151" s="7"/>
      <c r="X151" s="7"/>
      <c r="Y151" s="7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</row>
    <row r="152" spans="1:42" ht="24.95" customHeight="1">
      <c r="A152" s="223">
        <v>113</v>
      </c>
      <c r="B152" s="87" t="s">
        <v>189</v>
      </c>
      <c r="C152" s="173"/>
      <c r="D152" s="173"/>
      <c r="E152" s="174"/>
      <c r="F152" s="174"/>
      <c r="G152" s="174"/>
      <c r="H152" s="175"/>
      <c r="I152" s="175"/>
      <c r="J152" s="175"/>
      <c r="K152" s="175"/>
      <c r="L152" s="176"/>
      <c r="M152" s="173">
        <v>0.68</v>
      </c>
      <c r="N152" s="35"/>
      <c r="O152" s="174">
        <v>13461.1</v>
      </c>
      <c r="P152" s="174">
        <v>12788</v>
      </c>
      <c r="Q152" s="215">
        <f>O152-P152</f>
        <v>673.10000000000036</v>
      </c>
      <c r="R152" s="177"/>
      <c r="S152" s="139"/>
      <c r="T152" s="78"/>
      <c r="U152" s="140"/>
      <c r="V152" s="52"/>
      <c r="W152" s="7"/>
      <c r="X152" s="7"/>
      <c r="Y152" s="7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</row>
    <row r="153" spans="1:42" ht="40.5" customHeight="1">
      <c r="A153" s="66"/>
      <c r="B153" s="178" t="s">
        <v>152</v>
      </c>
      <c r="C153" s="222">
        <f>SUM(C154:C158)</f>
        <v>2.66</v>
      </c>
      <c r="D153" s="175"/>
      <c r="E153" s="174">
        <f t="shared" ref="E153:G153" si="27">SUM(E154:E158)</f>
        <v>25769</v>
      </c>
      <c r="F153" s="174">
        <f t="shared" si="27"/>
        <v>24480.538080000002</v>
      </c>
      <c r="G153" s="174">
        <f t="shared" si="27"/>
        <v>1288.4619199999988</v>
      </c>
      <c r="H153" s="175"/>
      <c r="I153" s="175"/>
      <c r="J153" s="175"/>
      <c r="K153" s="175"/>
      <c r="L153" s="176"/>
      <c r="M153" s="35"/>
      <c r="N153" s="35"/>
      <c r="O153" s="35"/>
      <c r="P153" s="35"/>
      <c r="Q153" s="36"/>
      <c r="R153" s="177"/>
      <c r="S153" s="139"/>
      <c r="T153" s="78"/>
      <c r="U153" s="140"/>
      <c r="V153" s="52"/>
      <c r="W153" s="7"/>
      <c r="X153" s="7"/>
      <c r="Y153" s="7" t="s">
        <v>37</v>
      </c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</row>
    <row r="154" spans="1:42" ht="38.25" customHeight="1">
      <c r="A154" s="66">
        <v>114</v>
      </c>
      <c r="B154" s="87" t="s">
        <v>82</v>
      </c>
      <c r="C154" s="173">
        <v>0.56000000000000005</v>
      </c>
      <c r="D154" s="179"/>
      <c r="E154" s="174">
        <v>5273.4</v>
      </c>
      <c r="F154" s="174">
        <v>5009.7452000000003</v>
      </c>
      <c r="G154" s="174">
        <f t="shared" ref="G154:G158" si="28">E154-F154</f>
        <v>263.65479999999934</v>
      </c>
      <c r="H154" s="175"/>
      <c r="I154" s="175"/>
      <c r="J154" s="175"/>
      <c r="K154" s="175"/>
      <c r="L154" s="176"/>
      <c r="M154" s="35"/>
      <c r="N154" s="35"/>
      <c r="O154" s="35"/>
      <c r="P154" s="35"/>
      <c r="Q154" s="36"/>
      <c r="R154" s="177"/>
      <c r="S154" s="139"/>
      <c r="T154" s="78"/>
      <c r="U154" s="140"/>
      <c r="V154" s="52"/>
      <c r="W154" s="7"/>
      <c r="X154" s="7"/>
      <c r="Y154" s="7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</row>
    <row r="155" spans="1:42" ht="37.5" customHeight="1">
      <c r="A155" s="82">
        <v>115</v>
      </c>
      <c r="B155" s="87" t="s">
        <v>149</v>
      </c>
      <c r="C155" s="173">
        <v>0.74</v>
      </c>
      <c r="D155" s="173"/>
      <c r="E155" s="174">
        <v>6208.4</v>
      </c>
      <c r="F155" s="174">
        <v>5897.9746800000003</v>
      </c>
      <c r="G155" s="174">
        <f t="shared" si="28"/>
        <v>310.42531999999937</v>
      </c>
      <c r="H155" s="175"/>
      <c r="I155" s="175"/>
      <c r="J155" s="175"/>
      <c r="K155" s="175"/>
      <c r="L155" s="176"/>
      <c r="M155" s="35"/>
      <c r="N155" s="35"/>
      <c r="O155" s="35"/>
      <c r="P155" s="35"/>
      <c r="Q155" s="36"/>
      <c r="R155" s="177"/>
      <c r="S155" s="139"/>
      <c r="T155" s="78"/>
      <c r="U155" s="140"/>
      <c r="V155" s="52"/>
      <c r="W155" s="180">
        <f>1.85-C155</f>
        <v>1.1100000000000001</v>
      </c>
      <c r="X155" s="7"/>
      <c r="Y155" s="7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</row>
    <row r="156" spans="1:42" ht="40.5" customHeight="1">
      <c r="A156" s="82">
        <v>116</v>
      </c>
      <c r="B156" s="178" t="s">
        <v>92</v>
      </c>
      <c r="C156" s="173">
        <v>0.61</v>
      </c>
      <c r="D156" s="179"/>
      <c r="E156" s="174">
        <v>7725.1</v>
      </c>
      <c r="F156" s="174">
        <v>7338.8545000000004</v>
      </c>
      <c r="G156" s="174">
        <f t="shared" si="28"/>
        <v>386.24549999999999</v>
      </c>
      <c r="H156" s="175"/>
      <c r="I156" s="175"/>
      <c r="J156" s="175"/>
      <c r="K156" s="175"/>
      <c r="L156" s="176"/>
      <c r="M156" s="35"/>
      <c r="N156" s="35"/>
      <c r="O156" s="35"/>
      <c r="P156" s="35"/>
      <c r="Q156" s="36"/>
      <c r="R156" s="177"/>
      <c r="S156" s="139"/>
      <c r="T156" s="78"/>
      <c r="U156" s="140"/>
      <c r="V156" s="52"/>
      <c r="W156" s="7"/>
      <c r="X156" s="7"/>
      <c r="Y156" s="7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</row>
    <row r="157" spans="1:42" ht="44.25" customHeight="1">
      <c r="A157" s="66">
        <v>117</v>
      </c>
      <c r="B157" s="178" t="s">
        <v>83</v>
      </c>
      <c r="C157" s="173">
        <v>0.45</v>
      </c>
      <c r="D157" s="173"/>
      <c r="E157" s="174">
        <v>672.1</v>
      </c>
      <c r="F157" s="174">
        <v>638.44255999999996</v>
      </c>
      <c r="G157" s="174">
        <f t="shared" si="28"/>
        <v>33.657440000000065</v>
      </c>
      <c r="H157" s="175"/>
      <c r="I157" s="175"/>
      <c r="J157" s="175"/>
      <c r="K157" s="175"/>
      <c r="L157" s="176"/>
      <c r="M157" s="35"/>
      <c r="N157" s="35"/>
      <c r="O157" s="35"/>
      <c r="P157" s="35"/>
      <c r="Q157" s="36"/>
      <c r="R157" s="177"/>
      <c r="S157" s="139"/>
      <c r="T157" s="78"/>
      <c r="U157" s="140"/>
      <c r="V157" s="52"/>
      <c r="W157" s="7"/>
      <c r="X157" s="7"/>
      <c r="Y157" s="7"/>
      <c r="Z157" s="5"/>
      <c r="AA157" s="5" t="s">
        <v>37</v>
      </c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</row>
    <row r="158" spans="1:42" ht="42.75" customHeight="1">
      <c r="A158" s="82">
        <v>118</v>
      </c>
      <c r="B158" s="178" t="s">
        <v>172</v>
      </c>
      <c r="C158" s="173">
        <v>0.3</v>
      </c>
      <c r="D158" s="174"/>
      <c r="E158" s="174">
        <v>5890</v>
      </c>
      <c r="F158" s="174">
        <v>5595.5211399999998</v>
      </c>
      <c r="G158" s="174">
        <f t="shared" si="28"/>
        <v>294.47886000000017</v>
      </c>
      <c r="H158" s="175"/>
      <c r="I158" s="175"/>
      <c r="J158" s="175"/>
      <c r="K158" s="175"/>
      <c r="L158" s="176"/>
      <c r="M158" s="35"/>
      <c r="N158" s="35"/>
      <c r="O158" s="35"/>
      <c r="P158" s="35"/>
      <c r="Q158" s="36"/>
      <c r="R158" s="177"/>
      <c r="S158" s="139"/>
      <c r="T158" s="78"/>
      <c r="U158" s="140"/>
      <c r="V158" s="52"/>
      <c r="W158" s="7"/>
      <c r="X158" s="7"/>
      <c r="Y158" s="7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</row>
    <row r="159" spans="1:42" ht="30.75" customHeight="1">
      <c r="A159" s="66"/>
      <c r="B159" s="59" t="s">
        <v>168</v>
      </c>
      <c r="C159" s="60"/>
      <c r="D159" s="60"/>
      <c r="E159" s="60"/>
      <c r="F159" s="60"/>
      <c r="G159" s="78"/>
      <c r="H159" s="60">
        <f>SUM(H161:H166)</f>
        <v>4.7023000000000001</v>
      </c>
      <c r="I159" s="78"/>
      <c r="J159" s="60">
        <f>SUM(J161:J166)</f>
        <v>75383.899999999994</v>
      </c>
      <c r="K159" s="60">
        <f>SUM(K161:K166)</f>
        <v>71614.7</v>
      </c>
      <c r="L159" s="61">
        <f>SUM(L161:L166)</f>
        <v>3769.2000000000007</v>
      </c>
      <c r="M159" s="35"/>
      <c r="N159" s="35"/>
      <c r="O159" s="35"/>
      <c r="P159" s="35"/>
      <c r="Q159" s="36"/>
      <c r="R159" s="181">
        <f>R160</f>
        <v>1.6</v>
      </c>
      <c r="S159" s="60"/>
      <c r="T159" s="60">
        <f>T160</f>
        <v>40000</v>
      </c>
      <c r="U159" s="61">
        <f>U160</f>
        <v>38000</v>
      </c>
      <c r="V159" s="63">
        <f>V160</f>
        <v>2000</v>
      </c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</row>
    <row r="160" spans="1:42" ht="39.75" customHeight="1">
      <c r="A160" s="182"/>
      <c r="B160" s="133" t="s">
        <v>139</v>
      </c>
      <c r="C160" s="60"/>
      <c r="D160" s="60"/>
      <c r="E160" s="60"/>
      <c r="F160" s="60"/>
      <c r="G160" s="78"/>
      <c r="H160" s="78"/>
      <c r="I160" s="78"/>
      <c r="J160" s="78"/>
      <c r="K160" s="78"/>
      <c r="L160" s="140"/>
      <c r="M160" s="35"/>
      <c r="N160" s="35"/>
      <c r="O160" s="35"/>
      <c r="P160" s="35"/>
      <c r="Q160" s="36"/>
      <c r="R160" s="146">
        <v>1.6</v>
      </c>
      <c r="S160" s="71"/>
      <c r="T160" s="147">
        <v>40000</v>
      </c>
      <c r="U160" s="148">
        <f>T160*0.95</f>
        <v>38000</v>
      </c>
      <c r="V160" s="149">
        <f>T160-U160</f>
        <v>2000</v>
      </c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</row>
    <row r="161" spans="1:42" ht="40.5" customHeight="1">
      <c r="A161" s="66">
        <v>119</v>
      </c>
      <c r="B161" s="67" t="s">
        <v>54</v>
      </c>
      <c r="C161" s="60"/>
      <c r="D161" s="60"/>
      <c r="E161" s="60"/>
      <c r="F161" s="60"/>
      <c r="G161" s="78"/>
      <c r="H161" s="68">
        <v>0.84</v>
      </c>
      <c r="I161" s="72"/>
      <c r="J161" s="72">
        <v>24550.17</v>
      </c>
      <c r="K161" s="72">
        <v>23322.661499999998</v>
      </c>
      <c r="L161" s="73">
        <f>J161-K161</f>
        <v>1227.5084999999999</v>
      </c>
      <c r="M161" s="35"/>
      <c r="N161" s="35"/>
      <c r="O161" s="35"/>
      <c r="P161" s="35"/>
      <c r="Q161" s="36"/>
      <c r="R161" s="146"/>
      <c r="S161" s="71"/>
      <c r="T161" s="147"/>
      <c r="U161" s="148"/>
      <c r="V161" s="149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</row>
    <row r="162" spans="1:42" ht="24" customHeight="1">
      <c r="A162" s="66">
        <v>120</v>
      </c>
      <c r="B162" s="67" t="s">
        <v>55</v>
      </c>
      <c r="C162" s="60"/>
      <c r="D162" s="60"/>
      <c r="E162" s="60"/>
      <c r="F162" s="60"/>
      <c r="G162" s="78"/>
      <c r="H162" s="68">
        <v>0.59360000000000002</v>
      </c>
      <c r="I162" s="72"/>
      <c r="J162" s="72">
        <v>5733.29</v>
      </c>
      <c r="K162" s="72">
        <v>5446.6255000000001</v>
      </c>
      <c r="L162" s="73">
        <f>J162-K162</f>
        <v>286.66449999999986</v>
      </c>
      <c r="M162" s="35"/>
      <c r="N162" s="35"/>
      <c r="O162" s="35"/>
      <c r="P162" s="35"/>
      <c r="Q162" s="36"/>
      <c r="R162" s="146"/>
      <c r="S162" s="71"/>
      <c r="T162" s="147"/>
      <c r="U162" s="148"/>
      <c r="V162" s="149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</row>
    <row r="163" spans="1:42" ht="24" customHeight="1">
      <c r="A163" s="66">
        <v>121</v>
      </c>
      <c r="B163" s="67" t="s">
        <v>56</v>
      </c>
      <c r="C163" s="60"/>
      <c r="D163" s="60"/>
      <c r="E163" s="60"/>
      <c r="F163" s="60"/>
      <c r="G163" s="78"/>
      <c r="H163" s="68">
        <v>0.3357</v>
      </c>
      <c r="I163" s="72"/>
      <c r="J163" s="72">
        <v>6702.26</v>
      </c>
      <c r="K163" s="72">
        <v>6367.1469999999999</v>
      </c>
      <c r="L163" s="73">
        <f>J163-K163</f>
        <v>335.11300000000028</v>
      </c>
      <c r="M163" s="35"/>
      <c r="N163" s="35"/>
      <c r="O163" s="35"/>
      <c r="P163" s="35"/>
      <c r="Q163" s="36"/>
      <c r="R163" s="146"/>
      <c r="S163" s="71"/>
      <c r="T163" s="147"/>
      <c r="U163" s="148"/>
      <c r="V163" s="149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</row>
    <row r="164" spans="1:42" ht="26.25" customHeight="1">
      <c r="A164" s="66">
        <v>122</v>
      </c>
      <c r="B164" s="67" t="s">
        <v>57</v>
      </c>
      <c r="C164" s="60"/>
      <c r="D164" s="60"/>
      <c r="E164" s="60"/>
      <c r="F164" s="60"/>
      <c r="G164" s="78"/>
      <c r="H164" s="68">
        <v>1.675</v>
      </c>
      <c r="I164" s="72"/>
      <c r="J164" s="72">
        <v>8311.5400000000009</v>
      </c>
      <c r="K164" s="72">
        <v>7895.9629999999997</v>
      </c>
      <c r="L164" s="73">
        <f>J164-K164</f>
        <v>415.57700000000114</v>
      </c>
      <c r="M164" s="35"/>
      <c r="N164" s="35"/>
      <c r="O164" s="35"/>
      <c r="P164" s="35"/>
      <c r="Q164" s="36"/>
      <c r="R164" s="146"/>
      <c r="S164" s="71"/>
      <c r="T164" s="147"/>
      <c r="U164" s="148"/>
      <c r="V164" s="149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</row>
    <row r="165" spans="1:42" ht="38.25" customHeight="1">
      <c r="A165" s="66"/>
      <c r="B165" s="136" t="s">
        <v>152</v>
      </c>
      <c r="C165" s="60"/>
      <c r="D165" s="60"/>
      <c r="E165" s="60"/>
      <c r="F165" s="60"/>
      <c r="G165" s="78"/>
      <c r="H165" s="78"/>
      <c r="I165" s="78"/>
      <c r="J165" s="78"/>
      <c r="K165" s="78"/>
      <c r="L165" s="140"/>
      <c r="M165" s="35"/>
      <c r="N165" s="35"/>
      <c r="O165" s="35"/>
      <c r="P165" s="35"/>
      <c r="Q165" s="36"/>
      <c r="R165" s="146"/>
      <c r="S165" s="71"/>
      <c r="T165" s="147"/>
      <c r="U165" s="148"/>
      <c r="V165" s="149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</row>
    <row r="166" spans="1:42" ht="39.75" customHeight="1">
      <c r="A166" s="66">
        <v>123</v>
      </c>
      <c r="B166" s="67" t="s">
        <v>58</v>
      </c>
      <c r="C166" s="60"/>
      <c r="D166" s="60"/>
      <c r="E166" s="60"/>
      <c r="F166" s="60"/>
      <c r="G166" s="78"/>
      <c r="H166" s="68">
        <v>1.258</v>
      </c>
      <c r="I166" s="72"/>
      <c r="J166" s="72">
        <v>30086.639999999999</v>
      </c>
      <c r="K166" s="72">
        <v>28582.303</v>
      </c>
      <c r="L166" s="73">
        <f>J166-K166</f>
        <v>1504.3369999999995</v>
      </c>
      <c r="M166" s="35"/>
      <c r="N166" s="35"/>
      <c r="O166" s="35"/>
      <c r="P166" s="35"/>
      <c r="Q166" s="36"/>
      <c r="R166" s="146"/>
      <c r="S166" s="71"/>
      <c r="T166" s="147"/>
      <c r="U166" s="148"/>
      <c r="V166" s="149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</row>
    <row r="167" spans="1:42" ht="36" hidden="1" customHeight="1">
      <c r="A167" s="66"/>
      <c r="B167" s="59" t="s">
        <v>59</v>
      </c>
      <c r="C167" s="166"/>
      <c r="D167" s="167"/>
      <c r="E167" s="167"/>
      <c r="F167" s="167"/>
      <c r="G167" s="167"/>
      <c r="H167" s="167"/>
      <c r="I167" s="167"/>
      <c r="J167" s="167"/>
      <c r="K167" s="167"/>
      <c r="L167" s="168"/>
      <c r="M167" s="35"/>
      <c r="N167" s="35"/>
      <c r="O167" s="35"/>
      <c r="P167" s="35"/>
      <c r="Q167" s="36"/>
      <c r="R167" s="62">
        <f>R168</f>
        <v>1.6</v>
      </c>
      <c r="S167" s="60" t="e">
        <f>#REF!</f>
        <v>#REF!</v>
      </c>
      <c r="T167" s="60" t="e">
        <f>T168+#REF!</f>
        <v>#REF!</v>
      </c>
      <c r="U167" s="60" t="e">
        <f>U168+#REF!</f>
        <v>#REF!</v>
      </c>
      <c r="V167" s="63" t="e">
        <f>V168+#REF!</f>
        <v>#REF!</v>
      </c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</row>
    <row r="168" spans="1:42" ht="24.75" hidden="1" customHeight="1">
      <c r="A168" s="66"/>
      <c r="B168" s="67" t="s">
        <v>60</v>
      </c>
      <c r="C168" s="130"/>
      <c r="D168" s="130"/>
      <c r="E168" s="130"/>
      <c r="F168" s="130"/>
      <c r="G168" s="130"/>
      <c r="H168" s="130"/>
      <c r="I168" s="130"/>
      <c r="J168" s="130"/>
      <c r="K168" s="130"/>
      <c r="L168" s="131"/>
      <c r="M168" s="35"/>
      <c r="N168" s="35"/>
      <c r="O168" s="35"/>
      <c r="P168" s="35"/>
      <c r="Q168" s="36"/>
      <c r="R168" s="146">
        <v>1.6</v>
      </c>
      <c r="S168" s="132"/>
      <c r="T168" s="72">
        <v>40000</v>
      </c>
      <c r="U168" s="183">
        <f>T168*0.94</f>
        <v>37600</v>
      </c>
      <c r="V168" s="75">
        <f>T168-U168</f>
        <v>2400</v>
      </c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</row>
    <row r="169" spans="1:42" ht="42" hidden="1" customHeight="1">
      <c r="A169" s="66"/>
      <c r="B169" s="67" t="s">
        <v>61</v>
      </c>
      <c r="C169" s="130"/>
      <c r="D169" s="130"/>
      <c r="E169" s="130"/>
      <c r="F169" s="130"/>
      <c r="G169" s="130"/>
      <c r="H169" s="130"/>
      <c r="I169" s="130"/>
      <c r="J169" s="130"/>
      <c r="K169" s="130"/>
      <c r="L169" s="131"/>
      <c r="M169" s="35"/>
      <c r="N169" s="35"/>
      <c r="O169" s="35"/>
      <c r="P169" s="35"/>
      <c r="Q169" s="36"/>
      <c r="R169" s="146"/>
      <c r="S169" s="132"/>
      <c r="T169" s="72"/>
      <c r="U169" s="183"/>
      <c r="V169" s="7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</row>
    <row r="170" spans="1:42" ht="27.75" customHeight="1">
      <c r="A170" s="66"/>
      <c r="B170" s="59" t="s">
        <v>169</v>
      </c>
      <c r="C170" s="166">
        <f>SUM(C172:C173)</f>
        <v>0.34199999999999997</v>
      </c>
      <c r="D170" s="167"/>
      <c r="E170" s="167">
        <f>SUM(E172:E173)</f>
        <v>1160.0999999999999</v>
      </c>
      <c r="F170" s="167">
        <f t="shared" ref="F170:G170" si="29">SUM(F172:F173)</f>
        <v>1102.0999999999999</v>
      </c>
      <c r="G170" s="167">
        <f t="shared" si="29"/>
        <v>58</v>
      </c>
      <c r="H170" s="167">
        <f>SUM(H172:H184)</f>
        <v>5.351</v>
      </c>
      <c r="I170" s="167">
        <f t="shared" ref="I170:K170" si="30">SUM(I172:I184)</f>
        <v>12</v>
      </c>
      <c r="J170" s="167">
        <f t="shared" si="30"/>
        <v>111451.68</v>
      </c>
      <c r="K170" s="167">
        <f t="shared" si="30"/>
        <v>105879.15099999998</v>
      </c>
      <c r="L170" s="167">
        <f>SUM(L172:L184)-0.045</f>
        <v>5572.5340000000015</v>
      </c>
      <c r="M170" s="35"/>
      <c r="N170" s="35"/>
      <c r="O170" s="35"/>
      <c r="P170" s="35"/>
      <c r="Q170" s="36"/>
      <c r="R170" s="62" t="e">
        <f>#REF!</f>
        <v>#REF!</v>
      </c>
      <c r="S170" s="60"/>
      <c r="T170" s="60" t="e">
        <f>#REF!</f>
        <v>#REF!</v>
      </c>
      <c r="U170" s="60" t="e">
        <f>#REF!</f>
        <v>#REF!</v>
      </c>
      <c r="V170" s="63" t="e">
        <f>#REF!</f>
        <v>#REF!</v>
      </c>
      <c r="W170" s="81" t="e">
        <f>J170+#REF!</f>
        <v>#REF!</v>
      </c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</row>
    <row r="171" spans="1:42" ht="43.5" customHeight="1">
      <c r="A171" s="66"/>
      <c r="B171" s="133" t="s">
        <v>139</v>
      </c>
      <c r="C171" s="166"/>
      <c r="D171" s="167"/>
      <c r="E171" s="167"/>
      <c r="F171" s="167"/>
      <c r="G171" s="167"/>
      <c r="H171" s="175"/>
      <c r="I171" s="175"/>
      <c r="J171" s="175"/>
      <c r="K171" s="175"/>
      <c r="L171" s="176"/>
      <c r="M171" s="35"/>
      <c r="N171" s="35"/>
      <c r="O171" s="35"/>
      <c r="P171" s="35"/>
      <c r="Q171" s="36"/>
      <c r="R171" s="62"/>
      <c r="S171" s="62"/>
      <c r="T171" s="60"/>
      <c r="U171" s="61"/>
      <c r="V171" s="63"/>
      <c r="W171" s="81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</row>
    <row r="172" spans="1:42" ht="24.95" customHeight="1">
      <c r="A172" s="66">
        <v>124</v>
      </c>
      <c r="B172" s="67" t="s">
        <v>84</v>
      </c>
      <c r="C172" s="173">
        <v>0.24</v>
      </c>
      <c r="D172" s="184"/>
      <c r="E172" s="175">
        <f>1160.1-285.78462</f>
        <v>874.31537999999989</v>
      </c>
      <c r="F172" s="175">
        <f>1102.1-271.496</f>
        <v>830.60399999999993</v>
      </c>
      <c r="G172" s="175">
        <f>E172-F172</f>
        <v>43.711379999999963</v>
      </c>
      <c r="H172" s="184"/>
      <c r="I172" s="184"/>
      <c r="J172" s="184"/>
      <c r="K172" s="184"/>
      <c r="L172" s="185"/>
      <c r="M172" s="35"/>
      <c r="N172" s="35"/>
      <c r="O172" s="35"/>
      <c r="P172" s="35"/>
      <c r="Q172" s="36"/>
      <c r="R172" s="146"/>
      <c r="S172" s="139"/>
      <c r="T172" s="72"/>
      <c r="U172" s="183"/>
      <c r="V172" s="75"/>
      <c r="W172" s="81">
        <v>1160.0999999999999</v>
      </c>
      <c r="X172" s="5">
        <v>1102.0999999999999</v>
      </c>
      <c r="Y172" s="5">
        <v>58</v>
      </c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</row>
    <row r="173" spans="1:42" ht="24.95" customHeight="1">
      <c r="A173" s="66">
        <v>125</v>
      </c>
      <c r="B173" s="67" t="s">
        <v>147</v>
      </c>
      <c r="C173" s="173">
        <v>0.10199999999999999</v>
      </c>
      <c r="D173" s="184"/>
      <c r="E173" s="175">
        <f>285.78462</f>
        <v>285.78462000000002</v>
      </c>
      <c r="F173" s="175">
        <f>271.496</f>
        <v>271.49599999999998</v>
      </c>
      <c r="G173" s="175">
        <f>E173-F173</f>
        <v>14.288620000000037</v>
      </c>
      <c r="H173" s="184"/>
      <c r="I173" s="184"/>
      <c r="J173" s="184"/>
      <c r="K173" s="184"/>
      <c r="L173" s="185"/>
      <c r="M173" s="35"/>
      <c r="N173" s="35"/>
      <c r="O173" s="35"/>
      <c r="P173" s="35"/>
      <c r="Q173" s="36"/>
      <c r="R173" s="146"/>
      <c r="S173" s="139"/>
      <c r="T173" s="72"/>
      <c r="U173" s="183"/>
      <c r="V173" s="75"/>
      <c r="W173" s="81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</row>
    <row r="174" spans="1:42" ht="24.95" customHeight="1">
      <c r="A174" s="66">
        <v>126</v>
      </c>
      <c r="B174" s="67" t="s">
        <v>173</v>
      </c>
      <c r="C174" s="173"/>
      <c r="D174" s="184"/>
      <c r="E174" s="175"/>
      <c r="F174" s="175"/>
      <c r="G174" s="175"/>
      <c r="H174" s="186">
        <v>1.3149999999999999</v>
      </c>
      <c r="I174" s="184"/>
      <c r="J174" s="175">
        <v>29826.92</v>
      </c>
      <c r="K174" s="175">
        <f>J174*0.95-0.045</f>
        <v>28335.528999999999</v>
      </c>
      <c r="L174" s="176">
        <f>J174-K174</f>
        <v>1491.3909999999996</v>
      </c>
      <c r="M174" s="35"/>
      <c r="N174" s="35"/>
      <c r="O174" s="35"/>
      <c r="P174" s="35"/>
      <c r="Q174" s="36"/>
      <c r="R174" s="146"/>
      <c r="S174" s="139"/>
      <c r="T174" s="72"/>
      <c r="U174" s="183"/>
      <c r="V174" s="75"/>
      <c r="W174" s="81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</row>
    <row r="175" spans="1:42" ht="24.95" customHeight="1">
      <c r="A175" s="66">
        <v>127</v>
      </c>
      <c r="B175" s="67" t="s">
        <v>201</v>
      </c>
      <c r="C175" s="173"/>
      <c r="D175" s="184"/>
      <c r="E175" s="175"/>
      <c r="F175" s="175"/>
      <c r="G175" s="175"/>
      <c r="H175" s="186">
        <v>1.64</v>
      </c>
      <c r="I175" s="184"/>
      <c r="J175" s="175">
        <v>50274.7</v>
      </c>
      <c r="K175" s="175">
        <f t="shared" ref="K175:K184" si="31">J175*0.95</f>
        <v>47760.964999999997</v>
      </c>
      <c r="L175" s="176">
        <f>J175-K175</f>
        <v>2513.7350000000006</v>
      </c>
      <c r="M175" s="35"/>
      <c r="N175" s="35"/>
      <c r="O175" s="35"/>
      <c r="P175" s="35"/>
      <c r="Q175" s="36"/>
      <c r="R175" s="146"/>
      <c r="S175" s="139"/>
      <c r="T175" s="72"/>
      <c r="U175" s="183"/>
      <c r="V175" s="75"/>
      <c r="W175" s="81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</row>
    <row r="176" spans="1:42" ht="24.95" customHeight="1">
      <c r="A176" s="66">
        <v>128</v>
      </c>
      <c r="B176" s="67" t="s">
        <v>202</v>
      </c>
      <c r="C176" s="173"/>
      <c r="D176" s="184"/>
      <c r="E176" s="175"/>
      <c r="F176" s="175"/>
      <c r="G176" s="175"/>
      <c r="H176" s="186">
        <v>0.23699999999999999</v>
      </c>
      <c r="I176" s="184"/>
      <c r="J176" s="175">
        <v>2256.9499999999998</v>
      </c>
      <c r="K176" s="175">
        <f>J176*0.95+0.05</f>
        <v>2144.1524999999997</v>
      </c>
      <c r="L176" s="176">
        <f t="shared" ref="L176:L184" si="32">J176-K176</f>
        <v>112.79750000000013</v>
      </c>
      <c r="M176" s="35"/>
      <c r="N176" s="35"/>
      <c r="O176" s="35"/>
      <c r="P176" s="35"/>
      <c r="Q176" s="36"/>
      <c r="R176" s="146"/>
      <c r="S176" s="139"/>
      <c r="T176" s="72"/>
      <c r="U176" s="183"/>
      <c r="V176" s="75"/>
      <c r="W176" s="81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</row>
    <row r="177" spans="1:42" ht="24.95" customHeight="1">
      <c r="A177" s="66">
        <v>129</v>
      </c>
      <c r="B177" s="67" t="s">
        <v>203</v>
      </c>
      <c r="C177" s="173"/>
      <c r="D177" s="184"/>
      <c r="E177" s="175"/>
      <c r="F177" s="175"/>
      <c r="G177" s="175"/>
      <c r="H177" s="186">
        <v>0.25800000000000001</v>
      </c>
      <c r="I177" s="184"/>
      <c r="J177" s="175">
        <v>2332.02</v>
      </c>
      <c r="K177" s="175">
        <f t="shared" si="31"/>
        <v>2215.4189999999999</v>
      </c>
      <c r="L177" s="176">
        <f t="shared" si="32"/>
        <v>116.60100000000011</v>
      </c>
      <c r="M177" s="35"/>
      <c r="N177" s="35"/>
      <c r="O177" s="35"/>
      <c r="P177" s="35"/>
      <c r="Q177" s="36"/>
      <c r="R177" s="146"/>
      <c r="S177" s="139"/>
      <c r="T177" s="72"/>
      <c r="U177" s="183"/>
      <c r="V177" s="75"/>
      <c r="W177" s="81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</row>
    <row r="178" spans="1:42" ht="37.5" customHeight="1">
      <c r="A178" s="66">
        <v>130</v>
      </c>
      <c r="B178" s="67" t="s">
        <v>204</v>
      </c>
      <c r="C178" s="173"/>
      <c r="D178" s="184"/>
      <c r="E178" s="175"/>
      <c r="F178" s="175"/>
      <c r="G178" s="175"/>
      <c r="H178" s="186">
        <v>0.16500000000000001</v>
      </c>
      <c r="I178" s="184"/>
      <c r="J178" s="175">
        <v>2303.83</v>
      </c>
      <c r="K178" s="175">
        <f t="shared" si="31"/>
        <v>2188.6385</v>
      </c>
      <c r="L178" s="176">
        <f t="shared" si="32"/>
        <v>115.19149999999991</v>
      </c>
      <c r="M178" s="35"/>
      <c r="N178" s="35"/>
      <c r="O178" s="35"/>
      <c r="P178" s="35"/>
      <c r="Q178" s="36"/>
      <c r="R178" s="146"/>
      <c r="S178" s="139"/>
      <c r="T178" s="72"/>
      <c r="U178" s="183"/>
      <c r="V178" s="75"/>
      <c r="W178" s="81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</row>
    <row r="179" spans="1:42" ht="24.95" customHeight="1">
      <c r="A179" s="66">
        <v>131</v>
      </c>
      <c r="B179" s="67" t="s">
        <v>205</v>
      </c>
      <c r="C179" s="173"/>
      <c r="D179" s="184"/>
      <c r="E179" s="175"/>
      <c r="F179" s="175"/>
      <c r="G179" s="175"/>
      <c r="H179" s="186">
        <v>0.45</v>
      </c>
      <c r="I179" s="184"/>
      <c r="J179" s="175">
        <v>9229.51</v>
      </c>
      <c r="K179" s="175">
        <f t="shared" si="31"/>
        <v>8768.0344999999998</v>
      </c>
      <c r="L179" s="176">
        <f t="shared" si="32"/>
        <v>461.47550000000047</v>
      </c>
      <c r="M179" s="35"/>
      <c r="N179" s="35"/>
      <c r="O179" s="35"/>
      <c r="P179" s="35"/>
      <c r="Q179" s="36"/>
      <c r="R179" s="146"/>
      <c r="S179" s="139"/>
      <c r="T179" s="72"/>
      <c r="U179" s="183"/>
      <c r="V179" s="75"/>
      <c r="W179" s="81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</row>
    <row r="180" spans="1:42" ht="24.95" customHeight="1">
      <c r="A180" s="66">
        <v>132</v>
      </c>
      <c r="B180" s="67" t="s">
        <v>206</v>
      </c>
      <c r="C180" s="173"/>
      <c r="D180" s="184"/>
      <c r="E180" s="175"/>
      <c r="F180" s="175"/>
      <c r="G180" s="175"/>
      <c r="H180" s="186">
        <v>0.41499999999999998</v>
      </c>
      <c r="I180" s="184"/>
      <c r="J180" s="175">
        <v>3030.42</v>
      </c>
      <c r="K180" s="175">
        <f t="shared" si="31"/>
        <v>2878.8989999999999</v>
      </c>
      <c r="L180" s="176">
        <f t="shared" si="32"/>
        <v>151.52100000000019</v>
      </c>
      <c r="M180" s="35"/>
      <c r="N180" s="35"/>
      <c r="O180" s="35"/>
      <c r="P180" s="35"/>
      <c r="Q180" s="36"/>
      <c r="R180" s="146"/>
      <c r="S180" s="139"/>
      <c r="T180" s="72"/>
      <c r="U180" s="183"/>
      <c r="V180" s="75"/>
      <c r="W180" s="81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</row>
    <row r="181" spans="1:42" ht="24.95" customHeight="1">
      <c r="A181" s="66">
        <v>133</v>
      </c>
      <c r="B181" s="67" t="s">
        <v>207</v>
      </c>
      <c r="C181" s="173"/>
      <c r="D181" s="184"/>
      <c r="E181" s="175"/>
      <c r="F181" s="175"/>
      <c r="G181" s="175"/>
      <c r="H181" s="186">
        <v>0.47299999999999998</v>
      </c>
      <c r="I181" s="184"/>
      <c r="J181" s="175">
        <v>3404.56</v>
      </c>
      <c r="K181" s="175">
        <f>J181*0.95+0.05</f>
        <v>3234.3820000000001</v>
      </c>
      <c r="L181" s="176">
        <f t="shared" si="32"/>
        <v>170.17799999999988</v>
      </c>
      <c r="M181" s="35"/>
      <c r="N181" s="35"/>
      <c r="O181" s="35"/>
      <c r="P181" s="35"/>
      <c r="Q181" s="36"/>
      <c r="R181" s="146"/>
      <c r="S181" s="139"/>
      <c r="T181" s="72"/>
      <c r="U181" s="183"/>
      <c r="V181" s="75"/>
      <c r="W181" s="81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</row>
    <row r="182" spans="1:42" ht="24.95" customHeight="1">
      <c r="A182" s="66">
        <v>134</v>
      </c>
      <c r="B182" s="67" t="s">
        <v>208</v>
      </c>
      <c r="C182" s="173"/>
      <c r="D182" s="184"/>
      <c r="E182" s="175"/>
      <c r="F182" s="175"/>
      <c r="G182" s="175"/>
      <c r="H182" s="186">
        <v>0.39800000000000002</v>
      </c>
      <c r="I182" s="184"/>
      <c r="J182" s="175">
        <v>2752.66</v>
      </c>
      <c r="K182" s="175">
        <f t="shared" si="31"/>
        <v>2615.0269999999996</v>
      </c>
      <c r="L182" s="176">
        <f>J182-K182+0.05</f>
        <v>137.68300000000028</v>
      </c>
      <c r="M182" s="35"/>
      <c r="N182" s="35"/>
      <c r="O182" s="35"/>
      <c r="P182" s="35"/>
      <c r="Q182" s="36"/>
      <c r="R182" s="146"/>
      <c r="S182" s="139"/>
      <c r="T182" s="72"/>
      <c r="U182" s="183"/>
      <c r="V182" s="75"/>
      <c r="W182" s="81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</row>
    <row r="183" spans="1:42" ht="24.95" customHeight="1">
      <c r="A183" s="66">
        <v>135</v>
      </c>
      <c r="B183" s="67" t="s">
        <v>209</v>
      </c>
      <c r="C183" s="173"/>
      <c r="D183" s="184"/>
      <c r="E183" s="175"/>
      <c r="F183" s="175"/>
      <c r="G183" s="175"/>
      <c r="H183" s="186"/>
      <c r="I183" s="174">
        <v>6</v>
      </c>
      <c r="J183" s="175">
        <v>1982.05</v>
      </c>
      <c r="K183" s="175">
        <f t="shared" si="31"/>
        <v>1882.9474999999998</v>
      </c>
      <c r="L183" s="176">
        <f t="shared" si="32"/>
        <v>99.102500000000191</v>
      </c>
      <c r="M183" s="35"/>
      <c r="N183" s="35"/>
      <c r="O183" s="35"/>
      <c r="P183" s="35"/>
      <c r="Q183" s="36"/>
      <c r="R183" s="146"/>
      <c r="S183" s="139"/>
      <c r="T183" s="72"/>
      <c r="U183" s="183"/>
      <c r="V183" s="75"/>
      <c r="W183" s="81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</row>
    <row r="184" spans="1:42" ht="60" customHeight="1">
      <c r="A184" s="66">
        <v>136</v>
      </c>
      <c r="B184" s="67" t="s">
        <v>224</v>
      </c>
      <c r="C184" s="173"/>
      <c r="D184" s="184"/>
      <c r="E184" s="175"/>
      <c r="F184" s="175"/>
      <c r="G184" s="175"/>
      <c r="H184" s="186"/>
      <c r="I184" s="175">
        <v>6</v>
      </c>
      <c r="J184" s="175">
        <v>4058.06</v>
      </c>
      <c r="K184" s="175">
        <f t="shared" si="31"/>
        <v>3855.1569999999997</v>
      </c>
      <c r="L184" s="176">
        <f t="shared" si="32"/>
        <v>202.90300000000025</v>
      </c>
      <c r="M184" s="35"/>
      <c r="N184" s="35"/>
      <c r="O184" s="35"/>
      <c r="P184" s="35"/>
      <c r="Q184" s="36"/>
      <c r="R184" s="146"/>
      <c r="S184" s="139"/>
      <c r="T184" s="72"/>
      <c r="U184" s="183"/>
      <c r="V184" s="75"/>
      <c r="W184" s="81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</row>
    <row r="185" spans="1:42" ht="26.25" customHeight="1">
      <c r="A185" s="66"/>
      <c r="B185" s="59" t="s">
        <v>170</v>
      </c>
      <c r="C185" s="60">
        <f>C187</f>
        <v>1.75</v>
      </c>
      <c r="D185" s="60"/>
      <c r="E185" s="60">
        <f>E187</f>
        <v>31927.9</v>
      </c>
      <c r="F185" s="60">
        <f>F187</f>
        <v>30012.199999999997</v>
      </c>
      <c r="G185" s="60">
        <f>G187</f>
        <v>1915.7000000000044</v>
      </c>
      <c r="H185" s="60">
        <f>SUM(H187:H194)</f>
        <v>5.08</v>
      </c>
      <c r="I185" s="78"/>
      <c r="J185" s="60">
        <f>SUM(J187:J194)</f>
        <v>111360.59999999999</v>
      </c>
      <c r="K185" s="60">
        <f>SUM(K187:K194)</f>
        <v>104679</v>
      </c>
      <c r="L185" s="61">
        <f>SUM(L187:L194)</f>
        <v>6681.5999999999985</v>
      </c>
      <c r="M185" s="35"/>
      <c r="N185" s="35"/>
      <c r="O185" s="35"/>
      <c r="P185" s="35"/>
      <c r="Q185" s="36"/>
      <c r="R185" s="62" t="e">
        <f>#REF!</f>
        <v>#REF!</v>
      </c>
      <c r="S185" s="60"/>
      <c r="T185" s="60" t="e">
        <f>#REF!</f>
        <v>#REF!</v>
      </c>
      <c r="U185" s="60" t="e">
        <f>#REF!</f>
        <v>#REF!</v>
      </c>
      <c r="V185" s="63" t="e">
        <f>#REF!</f>
        <v>#REF!</v>
      </c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</row>
    <row r="186" spans="1:42" ht="42.75" customHeight="1">
      <c r="A186" s="66"/>
      <c r="B186" s="133" t="s">
        <v>139</v>
      </c>
      <c r="C186" s="60"/>
      <c r="D186" s="60"/>
      <c r="E186" s="60"/>
      <c r="F186" s="60"/>
      <c r="G186" s="78"/>
      <c r="H186" s="78"/>
      <c r="I186" s="78"/>
      <c r="J186" s="60"/>
      <c r="K186" s="60"/>
      <c r="L186" s="61"/>
      <c r="M186" s="35"/>
      <c r="N186" s="35"/>
      <c r="O186" s="35"/>
      <c r="P186" s="35"/>
      <c r="Q186" s="36"/>
      <c r="R186" s="62"/>
      <c r="S186" s="62"/>
      <c r="T186" s="60"/>
      <c r="U186" s="61"/>
      <c r="V186" s="63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</row>
    <row r="187" spans="1:42" ht="24.95" customHeight="1">
      <c r="A187" s="66">
        <v>137</v>
      </c>
      <c r="B187" s="87" t="s">
        <v>62</v>
      </c>
      <c r="C187" s="84">
        <v>1.75</v>
      </c>
      <c r="D187" s="84"/>
      <c r="E187" s="86">
        <v>31927.9</v>
      </c>
      <c r="F187" s="86">
        <f>E187*0.94-0.026</f>
        <v>30012.199999999997</v>
      </c>
      <c r="G187" s="111">
        <f t="shared" ref="G187" si="33">E187-F187</f>
        <v>1915.7000000000044</v>
      </c>
      <c r="H187" s="84"/>
      <c r="I187" s="84"/>
      <c r="J187" s="86"/>
      <c r="K187" s="86"/>
      <c r="L187" s="111"/>
      <c r="M187" s="35"/>
      <c r="N187" s="35"/>
      <c r="O187" s="35"/>
      <c r="P187" s="35"/>
      <c r="Q187" s="36"/>
      <c r="R187" s="146"/>
      <c r="S187" s="74"/>
      <c r="T187" s="72"/>
      <c r="U187" s="73"/>
      <c r="V187" s="7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</row>
    <row r="188" spans="1:42" ht="24.95" customHeight="1">
      <c r="A188" s="66">
        <v>138</v>
      </c>
      <c r="B188" s="87" t="s">
        <v>63</v>
      </c>
      <c r="C188" s="85"/>
      <c r="D188" s="85"/>
      <c r="E188" s="85"/>
      <c r="F188" s="85"/>
      <c r="G188" s="187"/>
      <c r="H188" s="84">
        <v>0.8</v>
      </c>
      <c r="I188" s="187"/>
      <c r="J188" s="86">
        <v>19568.983469999999</v>
      </c>
      <c r="K188" s="86">
        <v>18394.900000000001</v>
      </c>
      <c r="L188" s="111">
        <f t="shared" ref="L188:L194" si="34">J188-K188</f>
        <v>1174.0834699999978</v>
      </c>
      <c r="M188" s="35"/>
      <c r="N188" s="35"/>
      <c r="O188" s="35"/>
      <c r="P188" s="35"/>
      <c r="Q188" s="36"/>
      <c r="R188" s="146"/>
      <c r="S188" s="74"/>
      <c r="T188" s="72"/>
      <c r="U188" s="73"/>
      <c r="V188" s="7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</row>
    <row r="189" spans="1:42" ht="24.95" customHeight="1">
      <c r="A189" s="66">
        <v>139</v>
      </c>
      <c r="B189" s="87" t="s">
        <v>64</v>
      </c>
      <c r="C189" s="85"/>
      <c r="D189" s="85"/>
      <c r="E189" s="85"/>
      <c r="F189" s="85"/>
      <c r="G189" s="187"/>
      <c r="H189" s="84">
        <v>0.6</v>
      </c>
      <c r="I189" s="187"/>
      <c r="J189" s="86">
        <v>23044.909</v>
      </c>
      <c r="K189" s="86">
        <v>21662.2</v>
      </c>
      <c r="L189" s="111">
        <f t="shared" si="34"/>
        <v>1382.7089999999989</v>
      </c>
      <c r="M189" s="35"/>
      <c r="N189" s="35"/>
      <c r="O189" s="35"/>
      <c r="P189" s="35"/>
      <c r="Q189" s="36"/>
      <c r="R189" s="146"/>
      <c r="S189" s="74"/>
      <c r="T189" s="72"/>
      <c r="U189" s="73"/>
      <c r="V189" s="7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</row>
    <row r="190" spans="1:42" ht="24.95" customHeight="1">
      <c r="A190" s="66">
        <v>140</v>
      </c>
      <c r="B190" s="87" t="s">
        <v>179</v>
      </c>
      <c r="C190" s="85"/>
      <c r="D190" s="85"/>
      <c r="E190" s="85"/>
      <c r="F190" s="85"/>
      <c r="G190" s="187"/>
      <c r="H190" s="84">
        <v>0.2</v>
      </c>
      <c r="I190" s="187"/>
      <c r="J190" s="86">
        <f>5982.671-0.05822+0.025</f>
        <v>5982.63778</v>
      </c>
      <c r="K190" s="86">
        <v>5623.7</v>
      </c>
      <c r="L190" s="111">
        <f t="shared" si="34"/>
        <v>358.9377800000002</v>
      </c>
      <c r="M190" s="35"/>
      <c r="N190" s="35"/>
      <c r="O190" s="35"/>
      <c r="P190" s="35"/>
      <c r="Q190" s="36"/>
      <c r="R190" s="146"/>
      <c r="S190" s="74"/>
      <c r="T190" s="72"/>
      <c r="U190" s="73"/>
      <c r="V190" s="7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</row>
    <row r="191" spans="1:42" ht="39" customHeight="1">
      <c r="A191" s="66">
        <v>141</v>
      </c>
      <c r="B191" s="87" t="s">
        <v>65</v>
      </c>
      <c r="C191" s="85"/>
      <c r="D191" s="85"/>
      <c r="E191" s="85"/>
      <c r="F191" s="85"/>
      <c r="G191" s="187"/>
      <c r="H191" s="84">
        <v>1</v>
      </c>
      <c r="I191" s="187"/>
      <c r="J191" s="86">
        <v>30770.018</v>
      </c>
      <c r="K191" s="86">
        <v>28923.8</v>
      </c>
      <c r="L191" s="111">
        <f t="shared" si="34"/>
        <v>1846.2180000000008</v>
      </c>
      <c r="M191" s="35"/>
      <c r="N191" s="35"/>
      <c r="O191" s="35"/>
      <c r="P191" s="35"/>
      <c r="Q191" s="36"/>
      <c r="R191" s="146"/>
      <c r="S191" s="74"/>
      <c r="T191" s="72"/>
      <c r="U191" s="73"/>
      <c r="V191" s="7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</row>
    <row r="192" spans="1:42" ht="24.95" customHeight="1">
      <c r="A192" s="66">
        <v>142</v>
      </c>
      <c r="B192" s="87" t="s">
        <v>66</v>
      </c>
      <c r="C192" s="85"/>
      <c r="D192" s="85"/>
      <c r="E192" s="85"/>
      <c r="F192" s="85"/>
      <c r="G192" s="187"/>
      <c r="H192" s="84">
        <v>0.32</v>
      </c>
      <c r="I192" s="187"/>
      <c r="J192" s="86">
        <v>9320.4279700000006</v>
      </c>
      <c r="K192" s="86">
        <v>8761.2000000000007</v>
      </c>
      <c r="L192" s="111">
        <f t="shared" si="34"/>
        <v>559.22796999999991</v>
      </c>
      <c r="M192" s="35"/>
      <c r="N192" s="35"/>
      <c r="O192" s="35"/>
      <c r="P192" s="35"/>
      <c r="Q192" s="36"/>
      <c r="R192" s="146"/>
      <c r="S192" s="74"/>
      <c r="T192" s="72"/>
      <c r="U192" s="73"/>
      <c r="V192" s="7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</row>
    <row r="193" spans="1:42" ht="24.95" customHeight="1">
      <c r="A193" s="66">
        <v>143</v>
      </c>
      <c r="B193" s="87" t="s">
        <v>67</v>
      </c>
      <c r="C193" s="85"/>
      <c r="D193" s="85"/>
      <c r="E193" s="85"/>
      <c r="F193" s="85"/>
      <c r="G193" s="187"/>
      <c r="H193" s="84">
        <v>1.01</v>
      </c>
      <c r="I193" s="187"/>
      <c r="J193" s="86">
        <v>10732.7808</v>
      </c>
      <c r="K193" s="86">
        <v>10088.799999999999</v>
      </c>
      <c r="L193" s="111">
        <f t="shared" si="34"/>
        <v>643.98080000000118</v>
      </c>
      <c r="M193" s="35"/>
      <c r="N193" s="35"/>
      <c r="O193" s="35"/>
      <c r="P193" s="35"/>
      <c r="Q193" s="36"/>
      <c r="R193" s="146"/>
      <c r="S193" s="74"/>
      <c r="T193" s="72"/>
      <c r="U193" s="73"/>
      <c r="V193" s="7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</row>
    <row r="194" spans="1:42" ht="24.95" customHeight="1">
      <c r="A194" s="66">
        <v>144</v>
      </c>
      <c r="B194" s="87" t="s">
        <v>68</v>
      </c>
      <c r="C194" s="85"/>
      <c r="D194" s="85"/>
      <c r="E194" s="85"/>
      <c r="F194" s="85"/>
      <c r="G194" s="187"/>
      <c r="H194" s="84">
        <v>1.1499999999999999</v>
      </c>
      <c r="I194" s="187"/>
      <c r="J194" s="86">
        <f>11940.84298</f>
        <v>11940.842979999999</v>
      </c>
      <c r="K194" s="86">
        <v>11224.4</v>
      </c>
      <c r="L194" s="111">
        <f t="shared" si="34"/>
        <v>716.44297999999981</v>
      </c>
      <c r="M194" s="35"/>
      <c r="N194" s="35"/>
      <c r="O194" s="35"/>
      <c r="P194" s="35"/>
      <c r="Q194" s="36"/>
      <c r="R194" s="146"/>
      <c r="S194" s="74"/>
      <c r="T194" s="72"/>
      <c r="U194" s="73"/>
      <c r="V194" s="7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</row>
    <row r="195" spans="1:42" ht="30" hidden="1" customHeight="1">
      <c r="A195" s="66"/>
      <c r="B195" s="67"/>
      <c r="C195" s="60"/>
      <c r="D195" s="60"/>
      <c r="E195" s="60"/>
      <c r="F195" s="60"/>
      <c r="G195" s="78"/>
      <c r="H195" s="78"/>
      <c r="I195" s="78"/>
      <c r="J195" s="78"/>
      <c r="K195" s="78"/>
      <c r="L195" s="140"/>
      <c r="M195" s="35"/>
      <c r="N195" s="35"/>
      <c r="O195" s="35"/>
      <c r="P195" s="35"/>
      <c r="Q195" s="36"/>
      <c r="R195" s="146"/>
      <c r="S195" s="74"/>
      <c r="T195" s="72"/>
      <c r="U195" s="73"/>
      <c r="V195" s="75"/>
      <c r="W195" s="5"/>
      <c r="X195" s="5"/>
      <c r="Y195" s="5"/>
      <c r="Z195" s="5"/>
      <c r="AA195" s="5"/>
      <c r="AB195" s="5" t="s">
        <v>12</v>
      </c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</row>
    <row r="196" spans="1:42" ht="27" hidden="1" customHeight="1">
      <c r="A196" s="66"/>
      <c r="B196" s="59" t="s">
        <v>69</v>
      </c>
      <c r="C196" s="166"/>
      <c r="D196" s="57"/>
      <c r="E196" s="57"/>
      <c r="F196" s="57"/>
      <c r="G196" s="57"/>
      <c r="H196" s="57"/>
      <c r="I196" s="57"/>
      <c r="J196" s="57"/>
      <c r="K196" s="57"/>
      <c r="L196" s="58"/>
      <c r="M196" s="35"/>
      <c r="N196" s="35"/>
      <c r="O196" s="35"/>
      <c r="P196" s="35"/>
      <c r="Q196" s="36"/>
      <c r="R196" s="132"/>
      <c r="S196" s="132"/>
      <c r="T196" s="130"/>
      <c r="U196" s="131"/>
      <c r="V196" s="52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</row>
    <row r="197" spans="1:42" ht="27" hidden="1" customHeight="1">
      <c r="A197" s="66"/>
      <c r="B197" s="59"/>
      <c r="C197" s="166"/>
      <c r="D197" s="57"/>
      <c r="E197" s="57"/>
      <c r="F197" s="57"/>
      <c r="G197" s="57"/>
      <c r="H197" s="57"/>
      <c r="I197" s="57"/>
      <c r="J197" s="57"/>
      <c r="K197" s="57"/>
      <c r="L197" s="58"/>
      <c r="M197" s="35"/>
      <c r="N197" s="35"/>
      <c r="O197" s="35"/>
      <c r="P197" s="35"/>
      <c r="Q197" s="36"/>
      <c r="R197" s="132"/>
      <c r="S197" s="132"/>
      <c r="T197" s="130"/>
      <c r="U197" s="131"/>
      <c r="V197" s="52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</row>
    <row r="198" spans="1:42" ht="27.75" customHeight="1">
      <c r="A198" s="66"/>
      <c r="B198" s="59" t="s">
        <v>70</v>
      </c>
      <c r="C198" s="60">
        <f>C200+C202</f>
        <v>13.208</v>
      </c>
      <c r="D198" s="60"/>
      <c r="E198" s="60">
        <f>E200+E202</f>
        <v>195621.19999999998</v>
      </c>
      <c r="F198" s="60">
        <f>F200+F202</f>
        <v>181927.7</v>
      </c>
      <c r="G198" s="60">
        <f>G200+G202</f>
        <v>13693.499999999985</v>
      </c>
      <c r="H198" s="60"/>
      <c r="I198" s="60"/>
      <c r="J198" s="60"/>
      <c r="K198" s="60"/>
      <c r="L198" s="61"/>
      <c r="M198" s="35"/>
      <c r="N198" s="35"/>
      <c r="O198" s="35"/>
      <c r="P198" s="35"/>
      <c r="Q198" s="36"/>
      <c r="R198" s="62" t="e">
        <f>#REF!+#REF!</f>
        <v>#REF!</v>
      </c>
      <c r="S198" s="60"/>
      <c r="T198" s="60" t="e">
        <f>#REF!+#REF!</f>
        <v>#REF!</v>
      </c>
      <c r="U198" s="60" t="e">
        <f>#REF!+#REF!</f>
        <v>#REF!</v>
      </c>
      <c r="V198" s="63" t="e">
        <f>#REF!+#REF!</f>
        <v>#REF!</v>
      </c>
      <c r="W198" s="5"/>
      <c r="X198" s="5" t="s">
        <v>71</v>
      </c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</row>
    <row r="199" spans="1:42" ht="43.5" customHeight="1">
      <c r="A199" s="31"/>
      <c r="B199" s="133" t="s">
        <v>156</v>
      </c>
      <c r="C199" s="60"/>
      <c r="D199" s="60"/>
      <c r="E199" s="60"/>
      <c r="F199" s="60"/>
      <c r="G199" s="60"/>
      <c r="H199" s="60"/>
      <c r="I199" s="60"/>
      <c r="J199" s="60"/>
      <c r="K199" s="60"/>
      <c r="L199" s="61"/>
      <c r="M199" s="35"/>
      <c r="N199" s="35"/>
      <c r="O199" s="35"/>
      <c r="P199" s="35"/>
      <c r="Q199" s="36"/>
      <c r="R199" s="62"/>
      <c r="S199" s="62"/>
      <c r="T199" s="60"/>
      <c r="U199" s="61"/>
      <c r="V199" s="63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</row>
    <row r="200" spans="1:42" ht="41.25" customHeight="1">
      <c r="A200" s="31">
        <v>145</v>
      </c>
      <c r="B200" s="67" t="s">
        <v>93</v>
      </c>
      <c r="C200" s="68">
        <f>0.816+0.192+0.1</f>
        <v>1.1080000000000001</v>
      </c>
      <c r="D200" s="60"/>
      <c r="E200" s="72">
        <v>22096.9</v>
      </c>
      <c r="F200" s="72">
        <v>20550.099999999999</v>
      </c>
      <c r="G200" s="72">
        <f>E200-F200</f>
        <v>1546.8000000000029</v>
      </c>
      <c r="H200" s="130"/>
      <c r="I200" s="130"/>
      <c r="J200" s="130"/>
      <c r="K200" s="130"/>
      <c r="L200" s="131"/>
      <c r="M200" s="35"/>
      <c r="N200" s="35"/>
      <c r="O200" s="35"/>
      <c r="P200" s="35"/>
      <c r="Q200" s="36"/>
      <c r="R200" s="132"/>
      <c r="S200" s="132"/>
      <c r="T200" s="130"/>
      <c r="U200" s="131"/>
      <c r="V200" s="52"/>
      <c r="W200" s="188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</row>
    <row r="201" spans="1:42" ht="39" customHeight="1">
      <c r="A201" s="31"/>
      <c r="B201" s="136" t="s">
        <v>72</v>
      </c>
      <c r="C201" s="68"/>
      <c r="D201" s="60"/>
      <c r="E201" s="72"/>
      <c r="F201" s="72"/>
      <c r="G201" s="72"/>
      <c r="H201" s="130"/>
      <c r="I201" s="130"/>
      <c r="J201" s="130"/>
      <c r="K201" s="130"/>
      <c r="L201" s="131"/>
      <c r="M201" s="35"/>
      <c r="N201" s="35"/>
      <c r="O201" s="35"/>
      <c r="P201" s="35"/>
      <c r="Q201" s="36"/>
      <c r="R201" s="132"/>
      <c r="S201" s="132"/>
      <c r="T201" s="130"/>
      <c r="U201" s="131"/>
      <c r="V201" s="52"/>
      <c r="W201" s="188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</row>
    <row r="202" spans="1:42" ht="61.5" customHeight="1">
      <c r="A202" s="31">
        <v>146</v>
      </c>
      <c r="B202" s="189" t="s">
        <v>94</v>
      </c>
      <c r="C202" s="68">
        <v>12.1</v>
      </c>
      <c r="D202" s="60"/>
      <c r="E202" s="72">
        <f>161290.3+12234</f>
        <v>173524.3</v>
      </c>
      <c r="F202" s="72">
        <f>150000+11377.6</f>
        <v>161377.60000000001</v>
      </c>
      <c r="G202" s="72">
        <f>E202-F202</f>
        <v>12146.699999999983</v>
      </c>
      <c r="H202" s="130"/>
      <c r="I202" s="130"/>
      <c r="J202" s="130"/>
      <c r="K202" s="130"/>
      <c r="L202" s="131"/>
      <c r="M202" s="35"/>
      <c r="N202" s="35"/>
      <c r="O202" s="35"/>
      <c r="P202" s="35"/>
      <c r="Q202" s="36"/>
      <c r="R202" s="132"/>
      <c r="S202" s="132"/>
      <c r="T202" s="130"/>
      <c r="U202" s="131"/>
      <c r="V202" s="52"/>
      <c r="W202" s="188">
        <f>F202/E202*100</f>
        <v>93.000000576288173</v>
      </c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</row>
    <row r="203" spans="1:42" ht="26.25" customHeight="1">
      <c r="A203" s="66"/>
      <c r="B203" s="59" t="s">
        <v>171</v>
      </c>
      <c r="C203" s="68"/>
      <c r="D203" s="60"/>
      <c r="E203" s="72"/>
      <c r="F203" s="72"/>
      <c r="G203" s="72"/>
      <c r="H203" s="60">
        <f>SUM(H205:H217)</f>
        <v>9.6969999999999992</v>
      </c>
      <c r="I203" s="130"/>
      <c r="J203" s="60">
        <f t="shared" ref="J203:L203" si="35">SUM(J205:J217)</f>
        <v>125922.6</v>
      </c>
      <c r="K203" s="60">
        <f t="shared" si="35"/>
        <v>119626.5</v>
      </c>
      <c r="L203" s="60">
        <f t="shared" si="35"/>
        <v>6296.1</v>
      </c>
      <c r="M203" s="35"/>
      <c r="N203" s="35"/>
      <c r="O203" s="35"/>
      <c r="P203" s="35"/>
      <c r="Q203" s="36"/>
      <c r="R203" s="132"/>
      <c r="S203" s="132"/>
      <c r="T203" s="130"/>
      <c r="U203" s="131"/>
      <c r="V203" s="52"/>
      <c r="W203" s="188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</row>
    <row r="204" spans="1:42" ht="42.75" customHeight="1">
      <c r="A204" s="224"/>
      <c r="B204" s="198" t="s">
        <v>139</v>
      </c>
      <c r="C204" s="68"/>
      <c r="D204" s="60"/>
      <c r="E204" s="72"/>
      <c r="F204" s="72"/>
      <c r="G204" s="72"/>
      <c r="H204" s="68"/>
      <c r="I204" s="130"/>
      <c r="J204" s="72"/>
      <c r="K204" s="72"/>
      <c r="L204" s="73"/>
      <c r="M204" s="35"/>
      <c r="N204" s="35"/>
      <c r="O204" s="35"/>
      <c r="P204" s="35"/>
      <c r="Q204" s="36"/>
      <c r="R204" s="132"/>
      <c r="S204" s="132"/>
      <c r="T204" s="130"/>
      <c r="U204" s="131"/>
      <c r="V204" s="52"/>
      <c r="W204" s="188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</row>
    <row r="205" spans="1:42" ht="24.95" customHeight="1">
      <c r="A205" s="224">
        <v>147</v>
      </c>
      <c r="B205" s="217" t="s">
        <v>228</v>
      </c>
      <c r="C205" s="68"/>
      <c r="D205" s="60"/>
      <c r="E205" s="72"/>
      <c r="F205" s="72"/>
      <c r="G205" s="72"/>
      <c r="H205" s="68">
        <v>0.22</v>
      </c>
      <c r="I205" s="152"/>
      <c r="J205" s="72">
        <v>2564.0954200000001</v>
      </c>
      <c r="K205" s="72">
        <v>2435.8912599999999</v>
      </c>
      <c r="L205" s="73">
        <f>J205-K205</f>
        <v>128.20416000000023</v>
      </c>
      <c r="M205" s="35"/>
      <c r="N205" s="35"/>
      <c r="O205" s="35"/>
      <c r="P205" s="35"/>
      <c r="Q205" s="36"/>
      <c r="R205" s="132"/>
      <c r="S205" s="132"/>
      <c r="T205" s="130"/>
      <c r="U205" s="131"/>
      <c r="V205" s="52"/>
      <c r="W205" s="216">
        <f>K205/J205*100</f>
        <v>95.000023829066379</v>
      </c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</row>
    <row r="206" spans="1:42" ht="24.95" customHeight="1">
      <c r="A206" s="224">
        <v>148</v>
      </c>
      <c r="B206" s="217" t="s">
        <v>229</v>
      </c>
      <c r="C206" s="68"/>
      <c r="D206" s="60"/>
      <c r="E206" s="72"/>
      <c r="F206" s="72"/>
      <c r="G206" s="72"/>
      <c r="H206" s="68">
        <v>1.22</v>
      </c>
      <c r="I206" s="152"/>
      <c r="J206" s="72">
        <v>12539.86572</v>
      </c>
      <c r="K206" s="72">
        <v>11912.87542</v>
      </c>
      <c r="L206" s="73">
        <f>J206-K206</f>
        <v>626.99029999999948</v>
      </c>
      <c r="M206" s="35"/>
      <c r="N206" s="35"/>
      <c r="O206" s="35"/>
      <c r="P206" s="35"/>
      <c r="Q206" s="36"/>
      <c r="R206" s="132"/>
      <c r="S206" s="132"/>
      <c r="T206" s="130"/>
      <c r="U206" s="131"/>
      <c r="V206" s="52"/>
      <c r="W206" s="216">
        <f t="shared" ref="W206:W217" si="36">K206/J206*100</f>
        <v>95.000023812057222</v>
      </c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</row>
    <row r="207" spans="1:42" ht="24.95" customHeight="1">
      <c r="A207" s="224">
        <v>149</v>
      </c>
      <c r="B207" s="217" t="s">
        <v>230</v>
      </c>
      <c r="C207" s="68"/>
      <c r="D207" s="60"/>
      <c r="E207" s="72"/>
      <c r="F207" s="72"/>
      <c r="G207" s="72"/>
      <c r="H207" s="68">
        <v>0.55000000000000004</v>
      </c>
      <c r="I207" s="152"/>
      <c r="J207" s="72">
        <v>4820.9323599999998</v>
      </c>
      <c r="K207" s="72">
        <v>4579.8868899999998</v>
      </c>
      <c r="L207" s="73">
        <f>J207-K207</f>
        <v>241.04547000000002</v>
      </c>
      <c r="M207" s="35"/>
      <c r="N207" s="35"/>
      <c r="O207" s="35"/>
      <c r="P207" s="35"/>
      <c r="Q207" s="36"/>
      <c r="R207" s="132"/>
      <c r="S207" s="132"/>
      <c r="T207" s="130"/>
      <c r="U207" s="131"/>
      <c r="V207" s="52"/>
      <c r="W207" s="216">
        <f t="shared" si="36"/>
        <v>95.000023812821127</v>
      </c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</row>
    <row r="208" spans="1:42" ht="24.95" customHeight="1">
      <c r="A208" s="224">
        <v>150</v>
      </c>
      <c r="B208" s="217" t="s">
        <v>138</v>
      </c>
      <c r="C208" s="68"/>
      <c r="D208" s="60"/>
      <c r="E208" s="72"/>
      <c r="F208" s="72"/>
      <c r="G208" s="72"/>
      <c r="H208" s="68">
        <v>1.38</v>
      </c>
      <c r="I208" s="130"/>
      <c r="J208" s="72">
        <v>41666.397040000003</v>
      </c>
      <c r="K208" s="72">
        <v>39583.08711</v>
      </c>
      <c r="L208" s="73">
        <f>J208-K208</f>
        <v>2083.3099300000031</v>
      </c>
      <c r="M208" s="35"/>
      <c r="N208" s="35"/>
      <c r="O208" s="35"/>
      <c r="P208" s="35"/>
      <c r="Q208" s="36"/>
      <c r="R208" s="132"/>
      <c r="S208" s="132"/>
      <c r="T208" s="130"/>
      <c r="U208" s="131"/>
      <c r="V208" s="52"/>
      <c r="W208" s="216">
        <f t="shared" si="36"/>
        <v>95.000023812954097</v>
      </c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</row>
    <row r="209" spans="1:42" ht="24.95" customHeight="1">
      <c r="A209" s="224">
        <v>151</v>
      </c>
      <c r="B209" s="198" t="s">
        <v>73</v>
      </c>
      <c r="C209" s="68"/>
      <c r="D209" s="60"/>
      <c r="E209" s="72"/>
      <c r="F209" s="72"/>
      <c r="G209" s="72"/>
      <c r="H209" s="68">
        <v>0.6</v>
      </c>
      <c r="I209" s="130"/>
      <c r="J209" s="72">
        <v>11520.663629999999</v>
      </c>
      <c r="K209" s="72">
        <v>10944.63319</v>
      </c>
      <c r="L209" s="73">
        <f>J209-K209</f>
        <v>576.03043999999863</v>
      </c>
      <c r="M209" s="35"/>
      <c r="N209" s="35"/>
      <c r="O209" s="35"/>
      <c r="P209" s="35"/>
      <c r="Q209" s="36"/>
      <c r="R209" s="132"/>
      <c r="S209" s="132"/>
      <c r="T209" s="130"/>
      <c r="U209" s="131"/>
      <c r="V209" s="52"/>
      <c r="W209" s="216">
        <f t="shared" si="36"/>
        <v>95.000023796372233</v>
      </c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</row>
    <row r="210" spans="1:42" ht="24.95" customHeight="1">
      <c r="A210" s="224">
        <v>152</v>
      </c>
      <c r="B210" s="198" t="s">
        <v>148</v>
      </c>
      <c r="C210" s="68"/>
      <c r="D210" s="60"/>
      <c r="E210" s="72"/>
      <c r="F210" s="72"/>
      <c r="G210" s="72"/>
      <c r="H210" s="68">
        <v>0.66500000000000004</v>
      </c>
      <c r="I210" s="130"/>
      <c r="J210" s="72">
        <v>5804.8477199999998</v>
      </c>
      <c r="K210" s="72">
        <v>5514.6067199999998</v>
      </c>
      <c r="L210" s="73">
        <f t="shared" ref="L210:L217" si="37">J210-K210</f>
        <v>290.24099999999999</v>
      </c>
      <c r="M210" s="35"/>
      <c r="N210" s="35"/>
      <c r="O210" s="35"/>
      <c r="P210" s="35"/>
      <c r="Q210" s="36"/>
      <c r="R210" s="132"/>
      <c r="S210" s="132"/>
      <c r="T210" s="130"/>
      <c r="U210" s="131"/>
      <c r="V210" s="52"/>
      <c r="W210" s="216">
        <f t="shared" si="36"/>
        <v>95.000023876595336</v>
      </c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</row>
    <row r="211" spans="1:42" ht="24.95" customHeight="1">
      <c r="A211" s="224">
        <v>153</v>
      </c>
      <c r="B211" s="198" t="s">
        <v>137</v>
      </c>
      <c r="C211" s="68"/>
      <c r="D211" s="60"/>
      <c r="E211" s="72"/>
      <c r="F211" s="72"/>
      <c r="G211" s="72"/>
      <c r="H211" s="68">
        <v>0.97199999999999998</v>
      </c>
      <c r="I211" s="130"/>
      <c r="J211" s="72">
        <v>7499.5720899999997</v>
      </c>
      <c r="K211" s="72">
        <v>7124.5952699999998</v>
      </c>
      <c r="L211" s="73">
        <f t="shared" si="37"/>
        <v>374.97681999999986</v>
      </c>
      <c r="M211" s="35"/>
      <c r="N211" s="35"/>
      <c r="O211" s="35"/>
      <c r="P211" s="35"/>
      <c r="Q211" s="36"/>
      <c r="R211" s="132"/>
      <c r="S211" s="132"/>
      <c r="T211" s="130"/>
      <c r="U211" s="131"/>
      <c r="V211" s="52"/>
      <c r="W211" s="216">
        <f t="shared" si="36"/>
        <v>95.000023794690932</v>
      </c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</row>
    <row r="212" spans="1:42" ht="24.95" customHeight="1">
      <c r="A212" s="224">
        <v>154</v>
      </c>
      <c r="B212" s="198" t="s">
        <v>135</v>
      </c>
      <c r="C212" s="68"/>
      <c r="D212" s="60"/>
      <c r="E212" s="72"/>
      <c r="F212" s="72"/>
      <c r="G212" s="72"/>
      <c r="H212" s="68">
        <v>0.14000000000000001</v>
      </c>
      <c r="I212" s="130"/>
      <c r="J212" s="72">
        <v>1598.1296299999999</v>
      </c>
      <c r="K212" s="72">
        <v>1518.22353</v>
      </c>
      <c r="L212" s="73">
        <f t="shared" si="37"/>
        <v>79.906099999999924</v>
      </c>
      <c r="M212" s="35"/>
      <c r="N212" s="35"/>
      <c r="O212" s="35"/>
      <c r="P212" s="35"/>
      <c r="Q212" s="36"/>
      <c r="R212" s="132"/>
      <c r="S212" s="132"/>
      <c r="T212" s="130"/>
      <c r="U212" s="131"/>
      <c r="V212" s="52"/>
      <c r="W212" s="216">
        <f t="shared" si="36"/>
        <v>95.000023871655529</v>
      </c>
      <c r="X212" s="5" t="s">
        <v>19</v>
      </c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</row>
    <row r="213" spans="1:42" ht="24.95" customHeight="1">
      <c r="A213" s="224">
        <v>155</v>
      </c>
      <c r="B213" s="198" t="s">
        <v>210</v>
      </c>
      <c r="C213" s="68"/>
      <c r="D213" s="60"/>
      <c r="E213" s="72"/>
      <c r="F213" s="72"/>
      <c r="G213" s="72"/>
      <c r="H213" s="68">
        <v>1</v>
      </c>
      <c r="I213" s="130"/>
      <c r="J213" s="72">
        <v>10516.336359999999</v>
      </c>
      <c r="K213" s="72">
        <v>9990.5220499999996</v>
      </c>
      <c r="L213" s="73">
        <f t="shared" si="37"/>
        <v>525.81430999999975</v>
      </c>
      <c r="M213" s="35"/>
      <c r="N213" s="35"/>
      <c r="O213" s="35"/>
      <c r="P213" s="35"/>
      <c r="Q213" s="36"/>
      <c r="R213" s="132"/>
      <c r="S213" s="132"/>
      <c r="T213" s="130"/>
      <c r="U213" s="131"/>
      <c r="V213" s="52"/>
      <c r="W213" s="216">
        <f t="shared" si="36"/>
        <v>95.000023848609572</v>
      </c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</row>
    <row r="214" spans="1:42" ht="24.95" customHeight="1">
      <c r="A214" s="224">
        <v>156</v>
      </c>
      <c r="B214" s="198" t="s">
        <v>211</v>
      </c>
      <c r="C214" s="68"/>
      <c r="D214" s="60"/>
      <c r="E214" s="72"/>
      <c r="F214" s="72"/>
      <c r="G214" s="72"/>
      <c r="H214" s="68">
        <v>0.25</v>
      </c>
      <c r="I214" s="130"/>
      <c r="J214" s="72">
        <v>5205.04234</v>
      </c>
      <c r="K214" s="72">
        <v>4944.7914600000004</v>
      </c>
      <c r="L214" s="73">
        <f t="shared" si="37"/>
        <v>260.2508799999996</v>
      </c>
      <c r="M214" s="35"/>
      <c r="N214" s="35"/>
      <c r="O214" s="35"/>
      <c r="P214" s="35"/>
      <c r="Q214" s="36"/>
      <c r="R214" s="132"/>
      <c r="S214" s="132"/>
      <c r="T214" s="130"/>
      <c r="U214" s="131"/>
      <c r="V214" s="52"/>
      <c r="W214" s="216">
        <f t="shared" si="36"/>
        <v>95.000023765416671</v>
      </c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</row>
    <row r="215" spans="1:42" ht="24.95" customHeight="1">
      <c r="A215" s="225">
        <v>157</v>
      </c>
      <c r="B215" s="198" t="s">
        <v>134</v>
      </c>
      <c r="C215" s="68"/>
      <c r="D215" s="60"/>
      <c r="E215" s="72"/>
      <c r="F215" s="72"/>
      <c r="G215" s="72"/>
      <c r="H215" s="68">
        <v>1</v>
      </c>
      <c r="I215" s="130"/>
      <c r="J215" s="72">
        <v>10623.988799999999</v>
      </c>
      <c r="K215" s="72">
        <v>10092.79189</v>
      </c>
      <c r="L215" s="73">
        <f t="shared" si="37"/>
        <v>531.19690999999875</v>
      </c>
      <c r="M215" s="35"/>
      <c r="N215" s="35"/>
      <c r="O215" s="35"/>
      <c r="P215" s="35"/>
      <c r="Q215" s="36"/>
      <c r="R215" s="132"/>
      <c r="S215" s="132"/>
      <c r="T215" s="130"/>
      <c r="U215" s="131"/>
      <c r="V215" s="52"/>
      <c r="W215" s="216">
        <f t="shared" si="36"/>
        <v>95.000023814031138</v>
      </c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</row>
    <row r="216" spans="1:42" ht="24.95" customHeight="1">
      <c r="A216" s="225">
        <v>158</v>
      </c>
      <c r="B216" s="198" t="s">
        <v>136</v>
      </c>
      <c r="C216" s="68"/>
      <c r="D216" s="60"/>
      <c r="E216" s="72"/>
      <c r="F216" s="72"/>
      <c r="G216" s="72"/>
      <c r="H216" s="68">
        <v>1.6</v>
      </c>
      <c r="I216" s="130"/>
      <c r="J216" s="72">
        <v>9375.6861700000009</v>
      </c>
      <c r="K216" s="72">
        <v>8906.9040999999997</v>
      </c>
      <c r="L216" s="73">
        <f t="shared" si="37"/>
        <v>468.78207000000111</v>
      </c>
      <c r="M216" s="35"/>
      <c r="N216" s="35"/>
      <c r="O216" s="35"/>
      <c r="P216" s="35"/>
      <c r="Q216" s="36"/>
      <c r="R216" s="132"/>
      <c r="S216" s="132"/>
      <c r="T216" s="130"/>
      <c r="U216" s="131"/>
      <c r="V216" s="52"/>
      <c r="W216" s="216">
        <f t="shared" si="36"/>
        <v>95.000023875585839</v>
      </c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</row>
    <row r="217" spans="1:42" ht="24.95" customHeight="1">
      <c r="A217" s="225">
        <v>159</v>
      </c>
      <c r="B217" s="198" t="s">
        <v>225</v>
      </c>
      <c r="C217" s="68"/>
      <c r="D217" s="60"/>
      <c r="E217" s="72"/>
      <c r="F217" s="72"/>
      <c r="G217" s="72"/>
      <c r="H217" s="68">
        <v>0.1</v>
      </c>
      <c r="I217" s="130"/>
      <c r="J217" s="72">
        <v>2187.0427199999999</v>
      </c>
      <c r="K217" s="72">
        <v>2077.6911100000002</v>
      </c>
      <c r="L217" s="73">
        <f t="shared" si="37"/>
        <v>109.35160999999971</v>
      </c>
      <c r="M217" s="35"/>
      <c r="N217" s="35"/>
      <c r="O217" s="35"/>
      <c r="P217" s="35"/>
      <c r="Q217" s="36"/>
      <c r="R217" s="132"/>
      <c r="S217" s="132"/>
      <c r="T217" s="130"/>
      <c r="U217" s="131"/>
      <c r="V217" s="52"/>
      <c r="W217" s="216">
        <f t="shared" si="36"/>
        <v>95.000024050741914</v>
      </c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</row>
    <row r="218" spans="1:42" ht="25.5" customHeight="1">
      <c r="A218" s="31"/>
      <c r="B218" s="121" t="s">
        <v>140</v>
      </c>
      <c r="C218" s="68"/>
      <c r="D218" s="60"/>
      <c r="E218" s="72"/>
      <c r="F218" s="72"/>
      <c r="G218" s="72"/>
      <c r="H218" s="60">
        <f>SUM(H222:H228)</f>
        <v>17.021999999999998</v>
      </c>
      <c r="I218" s="158"/>
      <c r="J218" s="60">
        <f>SUM(J222:J228)-0.015</f>
        <v>216420.4</v>
      </c>
      <c r="K218" s="60">
        <f>SUM(K222:K228)+0.0099</f>
        <v>203435.19999999998</v>
      </c>
      <c r="L218" s="60">
        <f>SUM(L222:L228)-0.0249</f>
        <v>12985.200000000015</v>
      </c>
      <c r="M218" s="35"/>
      <c r="N218" s="35"/>
      <c r="O218" s="35"/>
      <c r="P218" s="35"/>
      <c r="Q218" s="36"/>
      <c r="R218" s="132"/>
      <c r="S218" s="132"/>
      <c r="T218" s="130"/>
      <c r="U218" s="131"/>
      <c r="V218" s="52"/>
      <c r="W218" s="188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</row>
    <row r="219" spans="1:42" ht="45.75" customHeight="1">
      <c r="A219" s="31"/>
      <c r="B219" s="67" t="s">
        <v>141</v>
      </c>
      <c r="C219" s="68"/>
      <c r="D219" s="60"/>
      <c r="E219" s="72"/>
      <c r="F219" s="72"/>
      <c r="G219" s="72"/>
      <c r="H219" s="68"/>
      <c r="I219" s="130"/>
      <c r="J219" s="72"/>
      <c r="K219" s="72"/>
      <c r="L219" s="73"/>
      <c r="M219" s="35"/>
      <c r="N219" s="35"/>
      <c r="O219" s="35"/>
      <c r="P219" s="35"/>
      <c r="Q219" s="36"/>
      <c r="R219" s="132"/>
      <c r="S219" s="132"/>
      <c r="T219" s="130"/>
      <c r="U219" s="131"/>
      <c r="V219" s="52"/>
      <c r="W219" s="188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</row>
    <row r="220" spans="1:42" ht="33.75" hidden="1" customHeight="1">
      <c r="A220" s="31"/>
      <c r="B220" s="121" t="s">
        <v>74</v>
      </c>
      <c r="C220" s="60"/>
      <c r="D220" s="60"/>
      <c r="E220" s="60"/>
      <c r="F220" s="60"/>
      <c r="G220" s="60"/>
      <c r="H220" s="60"/>
      <c r="I220" s="60"/>
      <c r="J220" s="60"/>
      <c r="K220" s="60"/>
      <c r="L220" s="61"/>
      <c r="M220" s="35"/>
      <c r="N220" s="35"/>
      <c r="O220" s="35"/>
      <c r="P220" s="35"/>
      <c r="Q220" s="36"/>
      <c r="R220" s="62" t="e">
        <f>#REF!+#REF!</f>
        <v>#REF!</v>
      </c>
      <c r="S220" s="62"/>
      <c r="T220" s="60" t="e">
        <f>#REF!+#REF!</f>
        <v>#REF!</v>
      </c>
      <c r="U220" s="61" t="e">
        <f>#REF!+#REF!</f>
        <v>#REF!</v>
      </c>
      <c r="V220" s="63" t="e">
        <f>#REF!+#REF!</f>
        <v>#REF!</v>
      </c>
      <c r="W220" s="5"/>
      <c r="X220" s="5"/>
      <c r="Y220" s="5" t="s">
        <v>12</v>
      </c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</row>
    <row r="221" spans="1:42" ht="42.75" hidden="1" customHeight="1">
      <c r="A221" s="31"/>
      <c r="B221" s="67" t="s">
        <v>141</v>
      </c>
      <c r="C221" s="60"/>
      <c r="D221" s="60"/>
      <c r="E221" s="60"/>
      <c r="F221" s="60"/>
      <c r="G221" s="60"/>
      <c r="H221" s="60"/>
      <c r="I221" s="60"/>
      <c r="J221" s="60"/>
      <c r="K221" s="60"/>
      <c r="L221" s="61"/>
      <c r="M221" s="35"/>
      <c r="N221" s="35"/>
      <c r="O221" s="35"/>
      <c r="P221" s="35"/>
      <c r="Q221" s="36"/>
      <c r="R221" s="62"/>
      <c r="S221" s="62"/>
      <c r="T221" s="60"/>
      <c r="U221" s="61"/>
      <c r="V221" s="63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</row>
    <row r="222" spans="1:42" ht="24.95" customHeight="1">
      <c r="A222" s="31">
        <v>160</v>
      </c>
      <c r="B222" s="133" t="s">
        <v>212</v>
      </c>
      <c r="C222" s="68"/>
      <c r="D222" s="60"/>
      <c r="E222" s="72"/>
      <c r="F222" s="72"/>
      <c r="G222" s="72"/>
      <c r="H222" s="68">
        <f>0.404+0.362+0.671+0.687+0.545+0.908+0.294+0.267+0.456+0.566+0.486+0.252+0.254-2.1</f>
        <v>4.0519999999999996</v>
      </c>
      <c r="I222" s="130"/>
      <c r="J222" s="72">
        <f>4499.8162+4881.25596+8120.83706+8208.08769+5123.32265+12007.14214+4086.86236+5182.73022+10787.18864+15112.85213+6538.46247+2860.99218+3253.12031</f>
        <v>90662.670010000002</v>
      </c>
      <c r="K222" s="72">
        <f>J222*0.94</f>
        <v>85222.909809399993</v>
      </c>
      <c r="L222" s="73">
        <f t="shared" ref="L222:L228" si="38">J222-K222</f>
        <v>5439.7602006000088</v>
      </c>
      <c r="M222" s="35"/>
      <c r="N222" s="35"/>
      <c r="O222" s="35"/>
      <c r="P222" s="35"/>
      <c r="Q222" s="36"/>
      <c r="R222" s="132"/>
      <c r="S222" s="132"/>
      <c r="T222" s="130"/>
      <c r="U222" s="131"/>
      <c r="V222" s="52"/>
      <c r="W222" s="72">
        <f>4190.15324+4495.0187+7552.93506+7638.95424+5123.32265+12400.43+4220.72554+5352.48799+11140.55441+15607.86617+6752.62658999999+2954.70258+3359.67466</f>
        <v>90789.451829999976</v>
      </c>
      <c r="X222" s="5">
        <f>J222/H222</f>
        <v>22374.795165350446</v>
      </c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</row>
    <row r="223" spans="1:42" ht="24.95" customHeight="1">
      <c r="A223" s="31">
        <v>161</v>
      </c>
      <c r="B223" s="133" t="s">
        <v>226</v>
      </c>
      <c r="C223" s="68"/>
      <c r="D223" s="60"/>
      <c r="E223" s="72"/>
      <c r="F223" s="72"/>
      <c r="G223" s="72"/>
      <c r="H223" s="68">
        <f>0.728+0.239+0.45+0.588</f>
        <v>2.0049999999999999</v>
      </c>
      <c r="I223" s="130"/>
      <c r="J223" s="72">
        <f>5475.38452+1811.82814+3374.58942+4401.78648</f>
        <v>15063.58856</v>
      </c>
      <c r="K223" s="72">
        <f t="shared" ref="K223:K228" si="39">J223*0.94</f>
        <v>14159.7732464</v>
      </c>
      <c r="L223" s="73">
        <f t="shared" si="38"/>
        <v>903.81531360000008</v>
      </c>
      <c r="M223" s="35"/>
      <c r="N223" s="35"/>
      <c r="O223" s="35"/>
      <c r="P223" s="35"/>
      <c r="Q223" s="36"/>
      <c r="R223" s="132"/>
      <c r="S223" s="132"/>
      <c r="T223" s="130"/>
      <c r="U223" s="131"/>
      <c r="V223" s="52"/>
      <c r="W223" s="188"/>
      <c r="X223" s="5">
        <f t="shared" ref="X223:X228" si="40">J223/H223</f>
        <v>7513.0117506234419</v>
      </c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</row>
    <row r="224" spans="1:42" ht="24.95" customHeight="1">
      <c r="A224" s="31">
        <v>162</v>
      </c>
      <c r="B224" s="133" t="s">
        <v>213</v>
      </c>
      <c r="C224" s="68"/>
      <c r="D224" s="60"/>
      <c r="E224" s="72"/>
      <c r="F224" s="72"/>
      <c r="G224" s="72"/>
      <c r="H224" s="68">
        <v>3.415</v>
      </c>
      <c r="I224" s="130"/>
      <c r="J224" s="72">
        <v>22496.60598</v>
      </c>
      <c r="K224" s="72">
        <f t="shared" si="39"/>
        <v>21146.809621199998</v>
      </c>
      <c r="L224" s="73">
        <f t="shared" si="38"/>
        <v>1349.7963588000021</v>
      </c>
      <c r="M224" s="35"/>
      <c r="N224" s="35"/>
      <c r="O224" s="35"/>
      <c r="P224" s="35"/>
      <c r="Q224" s="36"/>
      <c r="R224" s="132"/>
      <c r="S224" s="132"/>
      <c r="T224" s="130"/>
      <c r="U224" s="131"/>
      <c r="V224" s="52"/>
      <c r="W224" s="188"/>
      <c r="X224" s="5">
        <f t="shared" si="40"/>
        <v>6587.5859385065887</v>
      </c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</row>
    <row r="225" spans="1:42" ht="24.95" customHeight="1">
      <c r="A225" s="31">
        <v>163</v>
      </c>
      <c r="B225" s="133" t="s">
        <v>214</v>
      </c>
      <c r="C225" s="68"/>
      <c r="D225" s="60"/>
      <c r="E225" s="72"/>
      <c r="F225" s="72"/>
      <c r="G225" s="72"/>
      <c r="H225" s="68">
        <f>1.56+0.335</f>
        <v>1.895</v>
      </c>
      <c r="I225" s="130"/>
      <c r="J225" s="72">
        <f>10760.67282+5650.97712</f>
        <v>16411.649939999999</v>
      </c>
      <c r="K225" s="72">
        <f t="shared" si="39"/>
        <v>15426.950943599999</v>
      </c>
      <c r="L225" s="73">
        <f t="shared" si="38"/>
        <v>984.6989964000004</v>
      </c>
      <c r="M225" s="35"/>
      <c r="N225" s="35"/>
      <c r="O225" s="35"/>
      <c r="P225" s="35"/>
      <c r="Q225" s="36"/>
      <c r="R225" s="132"/>
      <c r="S225" s="132"/>
      <c r="T225" s="130"/>
      <c r="U225" s="131"/>
      <c r="V225" s="52"/>
      <c r="W225" s="188"/>
      <c r="X225" s="5">
        <f t="shared" si="40"/>
        <v>8660.5012875989451</v>
      </c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</row>
    <row r="226" spans="1:42" ht="24.95" customHeight="1">
      <c r="A226" s="31">
        <v>164</v>
      </c>
      <c r="B226" s="133" t="s">
        <v>215</v>
      </c>
      <c r="C226" s="68"/>
      <c r="D226" s="60"/>
      <c r="E226" s="72"/>
      <c r="F226" s="72"/>
      <c r="G226" s="72"/>
      <c r="H226" s="68">
        <f>0.078+0.3+0.177</f>
        <v>0.55499999999999994</v>
      </c>
      <c r="I226" s="130"/>
      <c r="J226" s="72">
        <f>1995.04981+2232.67346+2922.39097</f>
        <v>7150.1142400000008</v>
      </c>
      <c r="K226" s="72">
        <f t="shared" si="39"/>
        <v>6721.1073856000003</v>
      </c>
      <c r="L226" s="73">
        <f t="shared" si="38"/>
        <v>429.00685440000052</v>
      </c>
      <c r="M226" s="35"/>
      <c r="N226" s="35"/>
      <c r="O226" s="35"/>
      <c r="P226" s="35"/>
      <c r="Q226" s="36"/>
      <c r="R226" s="132"/>
      <c r="S226" s="132"/>
      <c r="T226" s="130"/>
      <c r="U226" s="131"/>
      <c r="V226" s="52"/>
      <c r="W226" s="188"/>
      <c r="X226" s="5">
        <f t="shared" si="40"/>
        <v>12883.088720720723</v>
      </c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</row>
    <row r="227" spans="1:42" ht="24.95" customHeight="1">
      <c r="A227" s="31">
        <v>165</v>
      </c>
      <c r="B227" s="133" t="s">
        <v>227</v>
      </c>
      <c r="C227" s="68"/>
      <c r="D227" s="60"/>
      <c r="E227" s="72"/>
      <c r="F227" s="72"/>
      <c r="G227" s="72"/>
      <c r="H227" s="68">
        <f>0.313+0.229+0.453+0.645+0.083+1.835+0.522</f>
        <v>4.08</v>
      </c>
      <c r="I227" s="130"/>
      <c r="J227" s="72">
        <f>2509.0559+1847.00574+4330.48966+5920.71191+600.41796+25719.47532+4903.00807</f>
        <v>45830.164560000005</v>
      </c>
      <c r="K227" s="72">
        <f t="shared" si="39"/>
        <v>43080.354686400002</v>
      </c>
      <c r="L227" s="73">
        <f t="shared" si="38"/>
        <v>2749.8098736000029</v>
      </c>
      <c r="M227" s="35"/>
      <c r="N227" s="35"/>
      <c r="O227" s="35"/>
      <c r="P227" s="35"/>
      <c r="Q227" s="36"/>
      <c r="R227" s="132"/>
      <c r="S227" s="132"/>
      <c r="T227" s="130"/>
      <c r="U227" s="131"/>
      <c r="V227" s="52"/>
      <c r="W227" s="188"/>
      <c r="X227" s="5">
        <f t="shared" si="40"/>
        <v>11232.883470588236</v>
      </c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</row>
    <row r="228" spans="1:42" ht="24.95" customHeight="1">
      <c r="A228" s="31">
        <v>166</v>
      </c>
      <c r="B228" s="133" t="s">
        <v>216</v>
      </c>
      <c r="C228" s="68"/>
      <c r="D228" s="60"/>
      <c r="E228" s="72"/>
      <c r="F228" s="72"/>
      <c r="G228" s="72"/>
      <c r="H228" s="68">
        <v>1.02</v>
      </c>
      <c r="I228" s="130"/>
      <c r="J228" s="72">
        <v>18805.621709999999</v>
      </c>
      <c r="K228" s="72">
        <f t="shared" si="39"/>
        <v>17677.284407399999</v>
      </c>
      <c r="L228" s="73">
        <f t="shared" si="38"/>
        <v>1128.3373026000008</v>
      </c>
      <c r="M228" s="35"/>
      <c r="N228" s="35"/>
      <c r="O228" s="35"/>
      <c r="P228" s="35"/>
      <c r="Q228" s="36"/>
      <c r="R228" s="132"/>
      <c r="S228" s="132"/>
      <c r="T228" s="130"/>
      <c r="U228" s="131"/>
      <c r="V228" s="52"/>
      <c r="W228" s="188"/>
      <c r="X228" s="5">
        <f t="shared" si="40"/>
        <v>18436.884029411765</v>
      </c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</row>
    <row r="229" spans="1:42" ht="29.25" customHeight="1">
      <c r="A229" s="66"/>
      <c r="B229" s="59" t="s">
        <v>75</v>
      </c>
      <c r="C229" s="60">
        <f>SUM(C235:C236)</f>
        <v>0</v>
      </c>
      <c r="D229" s="60">
        <f>SUM(D235:D236)</f>
        <v>343</v>
      </c>
      <c r="E229" s="60">
        <f>SUM(E235:E236)</f>
        <v>410343.9</v>
      </c>
      <c r="F229" s="60">
        <f t="shared" ref="F229:G229" si="41">SUM(F235:F236)</f>
        <v>381619.9</v>
      </c>
      <c r="G229" s="60">
        <f t="shared" si="41"/>
        <v>28724</v>
      </c>
      <c r="H229" s="60">
        <f>H230+H231</f>
        <v>2.8410000000000002</v>
      </c>
      <c r="I229" s="60"/>
      <c r="J229" s="60">
        <f>J230+J231+J237</f>
        <v>871007.49</v>
      </c>
      <c r="K229" s="60">
        <f t="shared" ref="K229:L229" si="42">K230+K231+K237</f>
        <v>810036.99069999997</v>
      </c>
      <c r="L229" s="60">
        <f t="shared" si="42"/>
        <v>60970.499299999996</v>
      </c>
      <c r="M229" s="60">
        <f>M231</f>
        <v>0.159</v>
      </c>
      <c r="N229" s="60">
        <f>N237</f>
        <v>260</v>
      </c>
      <c r="O229" s="60">
        <f t="shared" ref="O229:Q229" si="43">O230+O231+O237</f>
        <v>468316.30000000005</v>
      </c>
      <c r="P229" s="60">
        <f t="shared" si="43"/>
        <v>440217.28600000002</v>
      </c>
      <c r="Q229" s="63">
        <f t="shared" si="43"/>
        <v>28099.014000000003</v>
      </c>
      <c r="R229" s="62" t="e">
        <f>#REF!+#REF!+#REF!+#REF!</f>
        <v>#REF!</v>
      </c>
      <c r="S229" s="62"/>
      <c r="T229" s="57" t="e">
        <f>#REF!+#REF!+#REF!+#REF!</f>
        <v>#REF!</v>
      </c>
      <c r="U229" s="58" t="e">
        <f>#REF!+#REF!+#REF!+#REF!</f>
        <v>#REF!</v>
      </c>
      <c r="V229" s="190" t="e">
        <f>#REF!+#REF!+#REF!</f>
        <v>#REF!</v>
      </c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</row>
    <row r="230" spans="1:42" ht="35.25" customHeight="1">
      <c r="A230" s="66">
        <v>167</v>
      </c>
      <c r="B230" s="136" t="s">
        <v>159</v>
      </c>
      <c r="C230" s="60"/>
      <c r="D230" s="60"/>
      <c r="E230" s="60"/>
      <c r="F230" s="60"/>
      <c r="G230" s="60"/>
      <c r="H230" s="68">
        <f>0.325+0.64+0.675+0.26</f>
        <v>1.9000000000000001</v>
      </c>
      <c r="I230" s="72"/>
      <c r="J230" s="72">
        <f>25108.79+44028.36+113335.92+35366.4</f>
        <v>217839.47</v>
      </c>
      <c r="K230" s="72">
        <f>J230*0.93</f>
        <v>202590.7071</v>
      </c>
      <c r="L230" s="73">
        <f>J230-K230</f>
        <v>15248.762900000002</v>
      </c>
      <c r="M230" s="35"/>
      <c r="N230" s="35"/>
      <c r="O230" s="35"/>
      <c r="P230" s="35"/>
      <c r="Q230" s="36"/>
      <c r="R230" s="62"/>
      <c r="S230" s="62"/>
      <c r="T230" s="57"/>
      <c r="U230" s="58"/>
      <c r="V230" s="190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</row>
    <row r="231" spans="1:42" ht="44.25" customHeight="1">
      <c r="A231" s="66"/>
      <c r="B231" s="136" t="s">
        <v>160</v>
      </c>
      <c r="C231" s="60"/>
      <c r="D231" s="60"/>
      <c r="E231" s="60"/>
      <c r="F231" s="60"/>
      <c r="G231" s="60"/>
      <c r="H231" s="68">
        <f>0.341+0.6</f>
        <v>0.94100000000000006</v>
      </c>
      <c r="I231" s="72"/>
      <c r="J231" s="72">
        <f>J232+J233</f>
        <v>223060.52</v>
      </c>
      <c r="K231" s="72">
        <f>K232+K233</f>
        <v>207446.2836</v>
      </c>
      <c r="L231" s="73">
        <f>L232+L233</f>
        <v>15614.236399999994</v>
      </c>
      <c r="M231" s="68">
        <f>M234</f>
        <v>0.159</v>
      </c>
      <c r="N231" s="72"/>
      <c r="O231" s="72">
        <f>O234</f>
        <v>13591.9</v>
      </c>
      <c r="P231" s="72">
        <f>P234</f>
        <v>12776.385999999999</v>
      </c>
      <c r="Q231" s="75">
        <f>Q234</f>
        <v>815.51400000000103</v>
      </c>
      <c r="R231" s="62"/>
      <c r="S231" s="62"/>
      <c r="T231" s="57"/>
      <c r="U231" s="58"/>
      <c r="V231" s="190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</row>
    <row r="232" spans="1:42" ht="62.25" customHeight="1">
      <c r="A232" s="191">
        <v>168</v>
      </c>
      <c r="B232" s="192" t="s">
        <v>174</v>
      </c>
      <c r="C232" s="193"/>
      <c r="D232" s="60"/>
      <c r="E232" s="60"/>
      <c r="F232" s="60"/>
      <c r="G232" s="193"/>
      <c r="H232" s="120">
        <v>0.34100000000000003</v>
      </c>
      <c r="I232" s="194"/>
      <c r="J232" s="194">
        <v>70877.72</v>
      </c>
      <c r="K232" s="72">
        <f>J232*0.93</f>
        <v>65916.279600000009</v>
      </c>
      <c r="L232" s="73">
        <f>J232-K232</f>
        <v>4961.4403999999922</v>
      </c>
      <c r="M232" s="35"/>
      <c r="N232" s="35"/>
      <c r="O232" s="35"/>
      <c r="P232" s="35"/>
      <c r="Q232" s="36"/>
      <c r="R232" s="62"/>
      <c r="S232" s="62"/>
      <c r="T232" s="57"/>
      <c r="U232" s="58"/>
      <c r="V232" s="190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</row>
    <row r="233" spans="1:42" ht="60" customHeight="1">
      <c r="A233" s="191">
        <v>169</v>
      </c>
      <c r="B233" s="192" t="s">
        <v>177</v>
      </c>
      <c r="C233" s="193"/>
      <c r="D233" s="60"/>
      <c r="E233" s="60"/>
      <c r="F233" s="60"/>
      <c r="G233" s="193"/>
      <c r="H233" s="120">
        <v>0.6</v>
      </c>
      <c r="I233" s="193"/>
      <c r="J233" s="194">
        <v>152182.79999999999</v>
      </c>
      <c r="K233" s="72">
        <f>J233*0.93</f>
        <v>141530.00399999999</v>
      </c>
      <c r="L233" s="73">
        <f>J233-K233</f>
        <v>10652.796000000002</v>
      </c>
      <c r="M233" s="35"/>
      <c r="N233" s="35"/>
      <c r="O233" s="35"/>
      <c r="P233" s="35"/>
      <c r="Q233" s="36"/>
      <c r="R233" s="62"/>
      <c r="S233" s="62"/>
      <c r="T233" s="57"/>
      <c r="U233" s="58"/>
      <c r="V233" s="190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</row>
    <row r="234" spans="1:42" ht="44.25" customHeight="1">
      <c r="A234" s="191">
        <v>170</v>
      </c>
      <c r="B234" s="192" t="s">
        <v>178</v>
      </c>
      <c r="C234" s="193"/>
      <c r="D234" s="60"/>
      <c r="E234" s="60"/>
      <c r="F234" s="60"/>
      <c r="G234" s="193"/>
      <c r="H234" s="120"/>
      <c r="I234" s="193"/>
      <c r="J234" s="194"/>
      <c r="K234" s="194"/>
      <c r="L234" s="195"/>
      <c r="M234" s="196">
        <v>0.159</v>
      </c>
      <c r="N234" s="35"/>
      <c r="O234" s="194">
        <v>13591.9</v>
      </c>
      <c r="P234" s="72">
        <f>O234*0.94</f>
        <v>12776.385999999999</v>
      </c>
      <c r="Q234" s="197">
        <f>O234-P234</f>
        <v>815.51400000000103</v>
      </c>
      <c r="R234" s="77"/>
      <c r="S234" s="73"/>
      <c r="T234" s="57"/>
      <c r="U234" s="58"/>
      <c r="V234" s="190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</row>
    <row r="235" spans="1:42" ht="63.75" customHeight="1">
      <c r="A235" s="191">
        <v>171</v>
      </c>
      <c r="B235" s="198" t="s">
        <v>85</v>
      </c>
      <c r="C235" s="193"/>
      <c r="D235" s="72">
        <v>343</v>
      </c>
      <c r="E235" s="72">
        <f>384634.4+24359.1+1350.4</f>
        <v>410343.9</v>
      </c>
      <c r="F235" s="72">
        <f>357710+22654+1255.9</f>
        <v>381619.9</v>
      </c>
      <c r="G235" s="194">
        <f>E235-F235</f>
        <v>28724</v>
      </c>
      <c r="H235" s="193"/>
      <c r="I235" s="193"/>
      <c r="J235" s="193"/>
      <c r="K235" s="193"/>
      <c r="L235" s="199"/>
      <c r="M235" s="35"/>
      <c r="N235" s="35"/>
      <c r="O235" s="35"/>
      <c r="P235" s="35"/>
      <c r="Q235" s="36"/>
      <c r="R235" s="62"/>
      <c r="S235" s="62"/>
      <c r="T235" s="57"/>
      <c r="U235" s="58"/>
      <c r="V235" s="190"/>
      <c r="W235" s="5"/>
      <c r="X235" s="5"/>
      <c r="Y235" s="5"/>
      <c r="Z235" s="5" t="s">
        <v>3</v>
      </c>
      <c r="AA235" s="171" t="s">
        <v>12</v>
      </c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</row>
    <row r="236" spans="1:42" ht="41.25" hidden="1" customHeight="1">
      <c r="A236" s="191"/>
      <c r="B236" s="198" t="s">
        <v>86</v>
      </c>
      <c r="C236" s="120"/>
      <c r="D236" s="60"/>
      <c r="E236" s="72"/>
      <c r="F236" s="72"/>
      <c r="G236" s="194"/>
      <c r="H236" s="193"/>
      <c r="I236" s="193"/>
      <c r="J236" s="193"/>
      <c r="K236" s="193"/>
      <c r="L236" s="199"/>
      <c r="M236" s="35"/>
      <c r="N236" s="35"/>
      <c r="O236" s="35"/>
      <c r="P236" s="35"/>
      <c r="Q236" s="36"/>
      <c r="R236" s="62"/>
      <c r="S236" s="62"/>
      <c r="T236" s="57"/>
      <c r="U236" s="58"/>
      <c r="V236" s="190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</row>
    <row r="237" spans="1:42" ht="51" customHeight="1" thickBot="1">
      <c r="A237" s="200">
        <v>172</v>
      </c>
      <c r="B237" s="201" t="s">
        <v>87</v>
      </c>
      <c r="C237" s="202"/>
      <c r="D237" s="203"/>
      <c r="E237" s="203"/>
      <c r="F237" s="203"/>
      <c r="G237" s="203"/>
      <c r="H237" s="204"/>
      <c r="I237" s="203"/>
      <c r="J237" s="203">
        <v>430107.5</v>
      </c>
      <c r="K237" s="203">
        <v>400000</v>
      </c>
      <c r="L237" s="205">
        <f>J237-K237</f>
        <v>30107.5</v>
      </c>
      <c r="M237" s="206"/>
      <c r="N237" s="203">
        <v>260</v>
      </c>
      <c r="O237" s="203">
        <v>454724.4</v>
      </c>
      <c r="P237" s="203">
        <v>427440.9</v>
      </c>
      <c r="Q237" s="211">
        <f>O237-P237</f>
        <v>27283.5</v>
      </c>
      <c r="R237" s="62"/>
      <c r="S237" s="62"/>
      <c r="T237" s="57"/>
      <c r="U237" s="58"/>
      <c r="V237" s="190"/>
      <c r="W237" s="81">
        <f>J237+O237</f>
        <v>884831.9</v>
      </c>
      <c r="X237" s="81">
        <f>P237/O237*100</f>
        <v>93.999992083116723</v>
      </c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</row>
    <row r="238" spans="1:42" ht="21.75" customHeight="1"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</row>
    <row r="239" spans="1:42" ht="33.75" customHeight="1"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</row>
    <row r="240" spans="1:42" ht="36" customHeight="1">
      <c r="A240" s="242" t="s">
        <v>175</v>
      </c>
      <c r="B240" s="242"/>
      <c r="C240" s="242"/>
      <c r="D240" s="242"/>
      <c r="E240" s="242"/>
      <c r="F240" s="242"/>
      <c r="G240" s="243"/>
      <c r="H240" s="243"/>
      <c r="I240" s="243"/>
      <c r="J240" s="243"/>
      <c r="K240" s="243"/>
      <c r="L240" s="243"/>
      <c r="M240" s="243"/>
      <c r="N240" s="243"/>
      <c r="O240" s="244" t="s">
        <v>176</v>
      </c>
      <c r="P240" s="244"/>
      <c r="Q240" s="244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</row>
    <row r="241" spans="3:42" ht="15" customHeight="1">
      <c r="C241" s="5"/>
      <c r="D241" s="5"/>
      <c r="E241" s="209"/>
      <c r="F241" s="209"/>
      <c r="G241" s="209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 t="s">
        <v>3</v>
      </c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</row>
    <row r="242" spans="3:42"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</row>
    <row r="243" spans="3:42"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</row>
    <row r="244" spans="3:42"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</row>
    <row r="245" spans="3:42"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</row>
    <row r="246" spans="3:42"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</row>
    <row r="247" spans="3:42"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</row>
    <row r="248" spans="3:42"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</row>
    <row r="249" spans="3:42"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</row>
    <row r="250" spans="3:42">
      <c r="G250" s="208" t="s">
        <v>37</v>
      </c>
    </row>
  </sheetData>
  <mergeCells count="26">
    <mergeCell ref="A240:F240"/>
    <mergeCell ref="O240:Q240"/>
    <mergeCell ref="M6:N6"/>
    <mergeCell ref="O6:O7"/>
    <mergeCell ref="P6:Q6"/>
    <mergeCell ref="H6:I6"/>
    <mergeCell ref="J6:J7"/>
    <mergeCell ref="K6:L6"/>
    <mergeCell ref="A9:Q9"/>
    <mergeCell ref="B10:Q10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C6:D6"/>
    <mergeCell ref="E6:E7"/>
    <mergeCell ref="F6:G6"/>
  </mergeCells>
  <printOptions horizontalCentered="1"/>
  <pageMargins left="0.39370078740157483" right="0.39370078740157483" top="1.1811023622047245" bottom="0.39370078740157483" header="0.31496062992125984" footer="0.51181102362204722"/>
  <pageSetup paperSize="9" scale="49" firstPageNumber="114" fitToHeight="10" orientation="landscape" useFirstPageNumber="1" horizontalDpi="300" verticalDpi="300" r:id="rId1"/>
  <headerFooter>
    <oddHeader>&amp;C&amp;"Times New Roman,обычный"&amp;14&amp;P</oddHeader>
  </headerFooter>
  <rowBreaks count="2" manualBreakCount="2">
    <brk id="23" max="21" man="1"/>
    <brk id="202" max="21" man="1"/>
  </rowBreaks>
  <colBreaks count="1" manualBreakCount="1">
    <brk id="17" max="1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12.12.25 Плотва и мосты в Прох</vt:lpstr>
      <vt:lpstr>'12.12.25 Плотва и мосты в Прох'!Заголовки_для_печати</vt:lpstr>
      <vt:lpstr>'12.12.25 Плотва и мосты в Прох'!Область_печати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15</cp:revision>
  <cp:lastPrinted>2025-12-17T08:28:23Z</cp:lastPrinted>
  <dcterms:created xsi:type="dcterms:W3CDTF">2020-10-29T15:31:04Z</dcterms:created>
  <dcterms:modified xsi:type="dcterms:W3CDTF">2025-12-17T08:28:25Z</dcterms:modified>
  <dc:language>ru-RU</dc:language>
</cp:coreProperties>
</file>